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Juhend" sheetId="1" r:id="rId4"/>
    <sheet name="Sisend" sheetId="2" r:id="rId5"/>
    <sheet name="Väljund" sheetId="3" r:id="rId6"/>
    <sheet name="Parameetrid" sheetId="4" r:id="rId7"/>
    <sheet name="maj_arvutused" sheetId="5" r:id="rId8"/>
    <sheet name="kuv_arvutused" sheetId="6" r:id="rId9"/>
    <sheet name="sots_arvutused" sheetId="7" r:id="rId10"/>
    <sheet name="KOV-id" sheetId="8" r:id="rId11"/>
  </sheets>
</workbook>
</file>

<file path=xl/comments1.xml><?xml version="1.0" encoding="utf-8"?>
<comments xmlns="http://schemas.openxmlformats.org/spreadsheetml/2006/main">
  <authors>
    <author>HP Elitebook 860 G10</author>
    <author>37256</author>
    <author>Bernard  Niitra</author>
  </authors>
  <commentList>
    <comment ref="B5" authorId="0">
      <text>
        <r>
          <rPr>
            <sz val="11"/>
            <color indexed="8"/>
            <rFont val="Helvetica Neue"/>
          </rPr>
          <t>HP Elitebook 860 G10:
Kui festivali vm suure sündmuse raames toimub mitu üritust, näiteks, mitu seanssi või etendust, siis kirjuta siia lahtrisse mitte külastuste, vaid külastajate arv. Kui üks külastaja külastab kaht etendust, siis läheb ta arvesse ainult ühe külastajana</t>
        </r>
      </text>
    </comment>
    <comment ref="A7" authorId="1">
      <text>
        <r>
          <rPr>
            <sz val="11"/>
            <color indexed="8"/>
            <rFont val="Helvetica Neue"/>
          </rPr>
          <t xml:space="preserve">37256:
Mudeli kasutaja peab ise otsustama, millise tüübiga sarnaneb konkreetne sündmus, arvestades seda, et tüübi valik mõjutab eelkõige lihtpäringu tulemust. Detailse päringu kasutamisel sõltub mõju hinnang konkreetsetest mudelisse sisestatud näitajatest (piletitulu, osalustasu, rahvusvaheliste ülekannete vaatajate arv, ülekannete geograafiline ulatus jm).
</t>
        </r>
      </text>
    </comment>
    <comment ref="B8" authorId="0">
      <text>
        <r>
          <rPr>
            <sz val="11"/>
            <color indexed="8"/>
            <rFont val="Helvetica Neue"/>
          </rPr>
          <t>HP Elitebook 860 G10:
Mudeli väljund sõltub sellest, kas sündmuse KOV on Tallinn, Tartu või muu omavalitsusüksus.
Allpool mõned näited. Tallinnas toimuval suurel sündmusel on eeldatavalt suurem kohalike elanike osakaal kui Paides toimuval. Tallinnast hajub vähem ettevõtlustulu teistesse omavalitsusüksustesse. Sündmuse sotsiaalsed mõjud kipuvad Tallinnas rohkem hajuma. Võimalik on sisestada ka mõni muu uuritav piirkond, mille elanike arvu peab kasutaja ise sisestama.</t>
        </r>
      </text>
    </comment>
    <comment ref="D14" authorId="0">
      <text>
        <r>
          <rPr>
            <sz val="11"/>
            <color indexed="8"/>
            <rFont val="Helvetica Neue"/>
          </rPr>
          <t>HP Elitebook 860 G10:
Isetäituvad lahtrid. Need pole mudeli sisendina kasutusel</t>
        </r>
      </text>
    </comment>
    <comment ref="E14" authorId="0">
      <text>
        <r>
          <rPr>
            <sz val="11"/>
            <color indexed="8"/>
            <rFont val="Helvetica Neue"/>
          </rPr>
          <t>HP Elitebook 860 G10:
Mitu ööd keskmiselt sündmuse tõttu Eestisse saabunud külastaja Eestis viibib?</t>
        </r>
      </text>
    </comment>
    <comment ref="F14" authorId="0">
      <text>
        <r>
          <rPr>
            <sz val="11"/>
            <color indexed="8"/>
            <rFont val="Helvetica Neue"/>
          </rPr>
          <t>HP Elitebook 860 G10:
Mitu ööd keskmiselt sündmuse tõttu antud KOV-i saabunud külastaja selles KOV-is viibib?</t>
        </r>
      </text>
    </comment>
    <comment ref="A15" authorId="0">
      <text>
        <r>
          <rPr>
            <sz val="11"/>
            <color indexed="8"/>
            <rFont val="Helvetica Neue"/>
          </rPr>
          <t>HP Elitebook 860 G10:
Väliskülastaja - ei ela püsivalt Eestis, viibib siin alla 12 kuu</t>
        </r>
      </text>
    </comment>
    <comment ref="A16" authorId="0">
      <text>
        <r>
          <rPr>
            <sz val="11"/>
            <color indexed="8"/>
            <rFont val="Helvetica Neue"/>
          </rPr>
          <t>HP Elitebook 860 G10:
Sisekülastaja - elab Eestis, kuid mitte sündmuse omavalitsuses</t>
        </r>
      </text>
    </comment>
    <comment ref="A17" authorId="0">
      <text>
        <r>
          <rPr>
            <sz val="11"/>
            <color indexed="8"/>
            <rFont val="Helvetica Neue"/>
          </rPr>
          <t>HP Elitebook 860 G10:
kohalik elanik - elab sündmuse toimumise omavalitsusüksuses</t>
        </r>
      </text>
    </comment>
    <comment ref="A22" authorId="1">
      <text>
        <r>
          <rPr>
            <sz val="11"/>
            <color indexed="8"/>
            <rFont val="Helvetica Neue"/>
          </rPr>
          <t xml:space="preserve">37256:
Mudel töötab peamiselt suurte kultuuri- ja spordisündmuste peal, mille eelarve ületab 100 000 € </t>
        </r>
      </text>
    </comment>
    <comment ref="E23" authorId="0">
      <text>
        <r>
          <rPr>
            <sz val="11"/>
            <color indexed="8"/>
            <rFont val="Helvetica Neue"/>
          </rPr>
          <t>HP Elitebook 860 G10:
kohalik - sündmuse toimumise omavalitsususüksus</t>
        </r>
      </text>
    </comment>
    <comment ref="A27" authorId="0">
      <text>
        <r>
          <rPr>
            <sz val="11"/>
            <color indexed="8"/>
            <rFont val="Helvetica Neue"/>
          </rPr>
          <t>HP Elitebook 860 G10:
Mudel arvutab selle rea põhjal toetuste tasuvust. NB! Mudel pole võmeline toetusi ja sponsorrahasid prognoosima, kuid enamasti on need kulude katmiseks kriitiliselt vajalikud. Seega, kasutaja peab ise selle rea täitma</t>
        </r>
      </text>
    </comment>
    <comment ref="D27" authorId="1">
      <text>
        <r>
          <rPr>
            <sz val="11"/>
            <color indexed="8"/>
            <rFont val="Helvetica Neue"/>
          </rPr>
          <t xml:space="preserve">37256:
Mudel arvutab selle lahtri põhjal Eesti toetuste tasuvust Eesti jaoks
</t>
        </r>
      </text>
    </comment>
    <comment ref="E27" authorId="1">
      <text>
        <r>
          <rPr>
            <sz val="11"/>
            <color indexed="8"/>
            <rFont val="Helvetica Neue"/>
          </rPr>
          <t>37256:
Mudel arvutab selle lahtri põhjal kohaliku omavalitsuse toetuse tasuvust selle omavalitsusüksuse jaoks</t>
        </r>
      </text>
    </comment>
    <comment ref="E30" authorId="0">
      <text>
        <r>
          <rPr>
            <sz val="11"/>
            <color indexed="8"/>
            <rFont val="Helvetica Neue"/>
          </rPr>
          <t>HP Elitebook 860 G10:
Kui külastajate arv on alla 4000, tuleks Eestis tehtavad kulud sisestada käsitsi</t>
        </r>
      </text>
    </comment>
    <comment ref="B31" authorId="1">
      <text>
        <r>
          <rPr>
            <sz val="11"/>
            <color indexed="8"/>
            <rFont val="Helvetica Neue"/>
          </rPr>
          <t>37256:
Kui see lahter on kollane, siis mudel töötab, kuid ei arvesta eraldi kuluridu. Kui kuluread (34 - 39) klapivad kogukuluga (rida 32), siis võtab mudel iga kulurida eraldi arvesse</t>
        </r>
      </text>
    </comment>
    <comment ref="C31" authorId="1">
      <text>
        <r>
          <rPr>
            <sz val="11"/>
            <color indexed="8"/>
            <rFont val="Helvetica Neue"/>
          </rPr>
          <t>37256:
Kui see lahter on kollane, siis mudel töötab, kuid ei arvesta eraldi kuluridu</t>
        </r>
      </text>
    </comment>
    <comment ref="A38" authorId="0">
      <text>
        <r>
          <rPr>
            <sz val="11"/>
            <color indexed="8"/>
            <rFont val="Helvetica Neue"/>
          </rPr>
          <t>HP Elitebook 860 G10:
kõik need kulud, mida eelnevatel ridadel ei kajastatud</t>
        </r>
      </text>
    </comment>
    <comment ref="A52" authorId="2">
      <text>
        <r>
          <rPr>
            <sz val="11"/>
            <color indexed="8"/>
            <rFont val="Helvetica Neue"/>
          </rPr>
          <t xml:space="preserve">Bernard  Niitra:
Kas sündmuse raames tehakse koostööd mõne meediaväljaandega?
</t>
        </r>
      </text>
    </comment>
  </commentList>
</comments>
</file>

<file path=xl/comments2.xml><?xml version="1.0" encoding="utf-8"?>
<comments xmlns="http://schemas.openxmlformats.org/spreadsheetml/2006/main">
  <authors>
    <author>37256</author>
    <author>HP Elitebook 860 G10</author>
  </authors>
  <commentList>
    <comment ref="A7" authorId="0">
      <text>
        <r>
          <rPr>
            <sz val="11"/>
            <color indexed="8"/>
            <rFont val="Helvetica Neue"/>
          </rPr>
          <t>37256:
Ei kajastu koondhinnangus.</t>
        </r>
      </text>
    </comment>
    <comment ref="A9" authorId="1">
      <text>
        <r>
          <rPr>
            <sz val="11"/>
            <color indexed="8"/>
            <rFont val="Helvetica Neue"/>
          </rPr>
          <t>HP Elitebook 860 G10:
Vaata ka tulpades K kuni U olevaid jooniseid, mis selgitavad erinevate väljundnäitajate vahelisi seoseid</t>
        </r>
      </text>
    </comment>
    <comment ref="A10" authorId="1">
      <text>
        <r>
          <rPr>
            <sz val="11"/>
            <color indexed="8"/>
            <rFont val="Helvetica Neue"/>
          </rPr>
          <t xml:space="preserve">HP Elitebook 860 G10:
Kohalik tulu on siinses mudelis tüüpilisel juhul suurem kui tulu Eestile. Kohalik tulu hõlmab nii välismaalt kui teistest Eesti piirkondadest tulevat tulu. Tulu Eestile on aga vaid välismaalt Eestisse jõudev tulu. </t>
        </r>
      </text>
    </comment>
    <comment ref="B10" authorId="1">
      <text>
        <r>
          <rPr>
            <sz val="11"/>
            <color indexed="8"/>
            <rFont val="Helvetica Neue"/>
          </rPr>
          <t>HP Elitebook 860 G10:
Sündmuse enda lühiajaline tulu tekib peamiselt sündmuse ettevalmistamise ja toimumise käigus või mõne nädala jooksul pärast sündmust. See tulu johtub konkreetselt antud sündmusest</t>
        </r>
      </text>
    </comment>
    <comment ref="C10" authorId="1">
      <text>
        <r>
          <rPr>
            <sz val="11"/>
            <color indexed="8"/>
            <rFont val="Helvetica Neue"/>
          </rPr>
          <t>HP Elitebook 860 G10:
Kuvandi pikaajalise mõju tulu tuleneb sihtpiirkonna korduvkülastustest, mida antud sündmus esile kutsub. Seega, see tulu tekib hiljem, sest tänu sündmuse sihtkoha tuntuse levikule läbi sündmuse saabub sinna tulevikus rohkem külastajaid.</t>
        </r>
      </text>
    </comment>
    <comment ref="D10" authorId="1">
      <text>
        <r>
          <rPr>
            <sz val="11"/>
            <color indexed="8"/>
            <rFont val="Helvetica Neue"/>
          </rPr>
          <t>HP Elitebook 860 G10:
Siin on kokku liidetud nii antud sündmuse kui ka selle poolt põhjustatud korduvkülastuste tulu</t>
        </r>
      </text>
    </comment>
    <comment ref="A11" authorId="1">
      <text>
        <r>
          <rPr>
            <sz val="11"/>
            <color indexed="8"/>
            <rFont val="Helvetica Neue"/>
          </rPr>
          <t>HP Elitebook 860 G10:
tulu - raha elanikele
tulu Eestile - välismaa päritolu raha Eesti elanikele</t>
        </r>
      </text>
    </comment>
    <comment ref="A13" authorId="1">
      <text>
        <r>
          <rPr>
            <sz val="11"/>
            <color indexed="8"/>
            <rFont val="Helvetica Neue"/>
          </rPr>
          <t>HP Elitebook 860 G10:
palgatulu</t>
        </r>
      </text>
    </comment>
    <comment ref="A17" authorId="1">
      <text>
        <r>
          <rPr>
            <sz val="11"/>
            <color indexed="8"/>
            <rFont val="Helvetica Neue"/>
          </rPr>
          <t>HP Elitebook 860 G10:
nt välismaistele esinejatele ja tehnilistele meeskondadele makstavad tasud</t>
        </r>
      </text>
    </comment>
    <comment ref="A18" authorId="1">
      <text>
        <r>
          <rPr>
            <sz val="11"/>
            <color indexed="8"/>
            <rFont val="Helvetica Neue"/>
          </rPr>
          <t>HP Elitebook 860 G10:
Kohalik tulu - Välismaalt või teistest Eesti piirkondadest sündmuse toimumise omavalitsusüksuse inimestele jõudev raha. Näiteks, kui sündmus toimub Saaremaal, siis mõeldakse kohaliku tulu all Saaremaa valla elanikeni jõudvat raha</t>
        </r>
      </text>
    </comment>
    <comment ref="A20" authorId="1">
      <text>
        <r>
          <rPr>
            <sz val="11"/>
            <color indexed="8"/>
            <rFont val="Helvetica Neue"/>
          </rPr>
          <t>HP Elitebook 860 G10:
palgatulu</t>
        </r>
      </text>
    </comment>
    <comment ref="B25" authorId="1">
      <text>
        <r>
          <rPr>
            <sz val="11"/>
            <color indexed="8"/>
            <rFont val="Helvetica Neue"/>
          </rPr>
          <t>HP Elitebook 860 G10:
Teoreetiliselt on võimalik, et Eesti toetajad ega külastajad ei panusta sündmusesse sentigi ja sellisel juhul pole tasuvus arvutatav</t>
        </r>
      </text>
    </comment>
    <comment ref="C25" authorId="1">
      <text>
        <r>
          <rPr>
            <sz val="11"/>
            <color indexed="8"/>
            <rFont val="Helvetica Neue"/>
          </rPr>
          <t>HP Elitebook 860 G10:
Teoreetiliselt on võimalik, et kohalikud toetajad ega külastajad ei panustanud sündmusesse sentigi ja sellisel juhul pole tasuvus arvutatav</t>
        </r>
      </text>
    </comment>
    <comment ref="A27" authorId="1">
      <text>
        <r>
          <rPr>
            <sz val="11"/>
            <color indexed="8"/>
            <rFont val="Helvetica Neue"/>
          </rPr>
          <t>HP Elitebook 860 G10:
Sihtpiirkonda tuleva ja sealt mineva raha vahe</t>
        </r>
      </text>
    </comment>
    <comment ref="A30" authorId="1">
      <text>
        <r>
          <rPr>
            <sz val="11"/>
            <color indexed="8"/>
            <rFont val="Helvetica Neue"/>
          </rPr>
          <t>HP Elitebook 860 G10:
Selles bilansis on tulu poolel lihtsamini arvutatav esmane maksu- ja aktsiisitulu. Siit jääb välja riigitulu, mis tekib esilekutsutud tarbimisest, kuvandist jm</t>
        </r>
      </text>
    </comment>
  </commentList>
</comments>
</file>

<file path=xl/comments3.xml><?xml version="1.0" encoding="utf-8"?>
<comments xmlns="http://schemas.openxmlformats.org/spreadsheetml/2006/main">
  <authors>
    <author>HP Elitebook 860 G10</author>
    <author>37256</author>
  </authors>
  <commentList>
    <comment ref="Q13" authorId="0">
      <text>
        <r>
          <rPr>
            <sz val="11"/>
            <color indexed="8"/>
            <rFont val="Helvetica Neue"/>
          </rPr>
          <t>HP Elitebook 860 G10:
sõltub sündmuse kestusest</t>
        </r>
      </text>
    </comment>
    <comment ref="P14" authorId="0">
      <text>
        <r>
          <rPr>
            <sz val="11"/>
            <color indexed="8"/>
            <rFont val="Helvetica Neue"/>
          </rPr>
          <t>HP Elitebook 860 G10:
sõltub sündmuse kestusest</t>
        </r>
      </text>
    </comment>
    <comment ref="V47" authorId="1">
      <text>
        <r>
          <rPr>
            <sz val="11"/>
            <color indexed="8"/>
            <rFont val="Helvetica Neue"/>
          </rPr>
          <t>37256:
Ülekannete vaatajaskonna kordaja sõltuvalt sündmuse tüübist</t>
        </r>
      </text>
    </comment>
  </commentList>
</comments>
</file>

<file path=xl/comments4.xml><?xml version="1.0" encoding="utf-8"?>
<comments xmlns="http://schemas.openxmlformats.org/spreadsheetml/2006/main">
  <authors>
    <author>tc={4E238BC2-CD91-4145-B83D-4812A29231F1}</author>
    <author>tc={73DE904E-31C4-4738-8E7C-8CCE9C686E56}</author>
    <author>tc={6A642791-C96A-4E4F-94A5-272ADBE611CB}</author>
    <author>tc={B4B7D990-54CF-40B2-817C-FF5CC69A100E}</author>
    <author>tc={1E5CEAB2-6314-47DD-A289-0E1A4B711577}</author>
    <author>tc={BADAAC5A-7E0A-4E78-8E04-C44C19DE4D3B}</author>
    <author>tc={F3455D17-FA57-45F8-A9C6-A3159DA685C0}</author>
    <author>tc={207581D5-76A2-4606-8847-D4304A57DC15}</author>
  </authors>
  <commentList>
    <comment ref="P1" authorId="0">
      <text>
        <r>
          <rPr>
            <sz val="11"/>
            <color indexed="8"/>
            <rFont val="Helvetica Neue"/>
          </rPr>
          <t>tc={4E238BC2-CD91-4145-B83D-4812A29231F1}:
[Threaded comment]
Your version of Excel allows you to read this threaded comment; however, any edits to it will get removed if the file is opened in a newer version of Excel. Learn more: https://go.microsoft.com/fwlink/?linkid=870924
Comment:
    Eestisse jõudev palgasüst</t>
        </r>
      </text>
    </comment>
    <comment ref="W10" authorId="1">
      <text>
        <r>
          <rPr>
            <sz val="11"/>
            <color indexed="8"/>
            <rFont val="Helvetica Neue"/>
          </rPr>
          <t>tc={73DE904E-31C4-4738-8E7C-8CCE9C686E56}:
[Threaded comment]
Your version of Excel allows you to read this threaded comment; however, any edits to it will get removed if the file is opened in a newer version of Excel. Learn more: https://go.microsoft.com/fwlink/?linkid=870924
Comment:
    1 - Tallinn; 2 - Tartu; 3 - muu</t>
        </r>
      </text>
    </comment>
    <comment ref="W11" authorId="2">
      <text>
        <r>
          <rPr>
            <sz val="11"/>
            <color indexed="8"/>
            <rFont val="Helvetica Neue"/>
          </rPr>
          <t>tc={6A642791-C96A-4E4F-94A5-272ADBE611CB}:
[Threaded comment]
Your version of Excel allows you to read this threaded comment; however, any edits to it will get removed if the file is opened in a newer version of Excel. Learn more: https://go.microsoft.com/fwlink/?linkid=870924
Comment:
    Tallinn: 0,51; Tartu 0,396; Otepää 0,2</t>
        </r>
      </text>
    </comment>
    <comment ref="W12" authorId="3">
      <text>
        <r>
          <rPr>
            <sz val="11"/>
            <color indexed="8"/>
            <rFont val="Helvetica Neue"/>
          </rPr>
          <t>tc={B4B7D990-54CF-40B2-817C-FF5CC69A100E}:
[Threaded comment]
Your version of Excel allows you to read this threaded comment; however, any edits to it will get removed if the file is opened in a newer version of Excel. Learn more: https://go.microsoft.com/fwlink/?linkid=870924
Comment:
    Tallinn 1,51; Tartu 1,43; Otepää 1,13</t>
        </r>
      </text>
    </comment>
    <comment ref="O14" authorId="4">
      <text>
        <r>
          <rPr>
            <sz val="11"/>
            <color indexed="8"/>
            <rFont val="Helvetica Neue"/>
          </rPr>
          <t>tc={1E5CEAB2-6314-47DD-A289-0E1A4B711577}:
[Threaded comment]
Your version of Excel allows you to read this threaded comment; however, any edits to it will get removed if the file is opened in a newer version of Excel. Learn more: https://go.microsoft.com/fwlink/?linkid=870924
Comment:
    Maksud / tööandja kulu</t>
        </r>
      </text>
    </comment>
    <comment ref="V14" authorId="5">
      <text>
        <r>
          <rPr>
            <sz val="11"/>
            <color indexed="8"/>
            <rFont val="Helvetica Neue"/>
          </rPr>
          <t>tc={BADAAC5A-7E0A-4E78-8E04-C44C19DE4D3B}:
[Threaded comment]
Your version of Excel allows you to read this threaded comment; however, any edits to it will get removed if the file is opened in a newer version of Excel. Learn more: https://go.microsoft.com/fwlink/?linkid=870924
Comment:
    KOV-ile kaekuvad maksud / tööandja kulu</t>
        </r>
      </text>
    </comment>
    <comment ref="P16" authorId="6">
      <text>
        <r>
          <rPr>
            <sz val="11"/>
            <color indexed="8"/>
            <rFont val="Helvetica Neue"/>
          </rPr>
          <t>tc={F3455D17-FA57-45F8-A9C6-A3159DA685C0}:
[Threaded comment]
Your version of Excel allows you to read this threaded comment; however, any edits to it will get removed if the file is opened in a newer version of Excel. Learn more: https://go.microsoft.com/fwlink/?linkid=870924
Comment:
    Eestisse jõudev palgasüst</t>
        </r>
      </text>
    </comment>
    <comment ref="P25" authorId="7">
      <text>
        <r>
          <rPr>
            <sz val="11"/>
            <color indexed="8"/>
            <rFont val="Helvetica Neue"/>
          </rPr>
          <t>tc={207581D5-76A2-4606-8847-D4304A57DC15}:
[Threaded comment]
Your version of Excel allows you to read this threaded comment; however, any edits to it will get removed if the file is opened in a newer version of Excel. Learn more: https://go.microsoft.com/fwlink/?linkid=870924
Comment:
    Eestisse jõudev palgasüst</t>
        </r>
      </text>
    </comment>
  </commentList>
</comments>
</file>

<file path=xl/comments5.xml><?xml version="1.0" encoding="utf-8"?>
<comments xmlns="http://schemas.openxmlformats.org/spreadsheetml/2006/main">
  <authors>
    <author>37256</author>
  </authors>
  <commentList>
    <comment ref="C10" authorId="0">
      <text>
        <r>
          <rPr>
            <sz val="11"/>
            <color indexed="8"/>
            <rFont val="Helvetica Neue"/>
          </rPr>
          <t>37256:
Kui suur osa televaatajatest on potentsiaalsed külastajad?</t>
        </r>
      </text>
    </comment>
    <comment ref="M13" authorId="0">
      <text>
        <r>
          <rPr>
            <sz val="11"/>
            <color indexed="8"/>
            <rFont val="Helvetica Neue"/>
          </rPr>
          <t>37256:
Ühe reklaamikliki hind</t>
        </r>
      </text>
    </comment>
    <comment ref="M17" authorId="0">
      <text>
        <r>
          <rPr>
            <sz val="11"/>
            <color indexed="8"/>
            <rFont val="Helvetica Neue"/>
          </rPr>
          <t>37256:
Kui suur osa külastajatest jagab külastust sotsiaalmeedias</t>
        </r>
      </text>
    </comment>
  </commentList>
</comments>
</file>

<file path=xl/comments6.xml><?xml version="1.0" encoding="utf-8"?>
<comments xmlns="http://schemas.openxmlformats.org/spreadsheetml/2006/main">
  <authors>
    <author>37256</author>
  </authors>
  <commentList>
    <comment ref="K1" authorId="0">
      <text>
        <r>
          <rPr>
            <sz val="11"/>
            <color indexed="8"/>
            <rFont val="Helvetica Neue"/>
          </rPr>
          <t>37256:
Kui suur osa vabatahtlikest on kohalikud elanikud</t>
        </r>
      </text>
    </comment>
  </commentList>
</comments>
</file>

<file path=xl/sharedStrings.xml><?xml version="1.0" encoding="utf-8"?>
<sst xmlns="http://schemas.openxmlformats.org/spreadsheetml/2006/main" uniqueCount="530">
  <si>
    <t xml:space="preserve">Mudeli otstarve
Mudel võimaldab analüüsida ühe konkreetse juba toimunud või kavandatava kultuuri- või spordisündmuse sotsiaal-majanduslikke mõjusid. Peamisteks sisenditeks on külastajate arv, sündmuse tüüp ja koht. Soovi korral võid sisestada sündmuse summaarse või detailse eelarve ja palju muud infot. Sisendi põhjal arvutab mudel sündmuse tulu Eestile ja sihtomavalitsusüksusele, sotsiaalsed ja kuvandi mõjud.
Kellele see mõeldud on?
- kultuuri- ja spordipoliitika kujundajad
- kohalike omavalitsuste esindajad, kes otsustavad sündmuste toetamise üle
- sündmuste korraldajad, keda huvitavad sotsiaal-majanduslikud mõjud
- sündmuste turundajad, kes soovivad verifitseerida sündmuse soodsaid mõjusid
- sündmuste potentsiaalsed spondeerijad ja toetajad
Kuidas mudelit kasutada?
Täida ära sinised lahtrid lehel "Sisend". Kanna sinna uuritava kultuuri- või spordisündmuse andmed, mis mõjutavad selle sotsiaal-majanduslike mõjude arvutusi. Tumesiniste lahtrite täitmine on kohustuslik, helesiniste täitmine soovitatav. Kui sisendlahtrid täidetud, näed sündmuse mõjusid lehel "Väljund". Asjatundlik kasutaja võib muuta mudeli parameetreid lehel "Parameetrid" või ka mudeli arvutusi tagumistel töölehtedel. 
Viide mudelile: Piirimäe, Kr., Niitra, B.R., Raun, M., Õunapuu, T., Argus, L., Tammesalu, M., Peetson, H.-G., Mikk, M., Uiboleht, M., Lauringson, D. 2024. Suurte kultuuri- ja spordisündmuste sotsiaal-majandusliku mõju mudel (SuMu). OÜ Roheline Rada, Levellab OÜ, Kultuurikõla OÜ. </t>
  </si>
  <si>
    <t>Lahtrite värvikoodid "Sisendi", "Väljundi" ja "Parameetrite" töölehtedel</t>
  </si>
  <si>
    <t>Sisendandmed</t>
  </si>
  <si>
    <t>Lihtpäringu sisendlahter - täitmine nõutav</t>
  </si>
  <si>
    <t>Sisendlahter - täitmine soovitatav</t>
  </si>
  <si>
    <t>Sisendlahter - täitmine soovitatav juhul kui kasutajal on täpsemad andmed</t>
  </si>
  <si>
    <t>Duubellahter - täitub automaatselt kasutaja sisestatud või mudeli poolt pakutavate andmetega</t>
  </si>
  <si>
    <t>Parameetrid</t>
  </si>
  <si>
    <t>Primaarne parameeter - asjatundlik kasutaja võib muuta</t>
  </si>
  <si>
    <t>Sekundaarne, võrrandiga varustatud lahter - asjatundlik kasutaja võib muuta</t>
  </si>
  <si>
    <t xml:space="preserve"> </t>
  </si>
  <si>
    <t>Rea või tulba nimetus</t>
  </si>
  <si>
    <t>Süsteemi poolt defineeritud nimetus</t>
  </si>
  <si>
    <t>Juhised ja selgitused</t>
  </si>
  <si>
    <t>Muutumatud juhised ja selgitused</t>
  </si>
  <si>
    <t>Kommentaarid, mis ilmuvad / muutuvad teatud tingimustel</t>
  </si>
  <si>
    <t>Hoiatusteade</t>
  </si>
  <si>
    <t>Väljund- ja vahenäitajad</t>
  </si>
  <si>
    <t>Arvutuste vahetulemus, mille kasutaja võib üle kirjutada</t>
  </si>
  <si>
    <t>Soodsat mõju näitav väljund</t>
  </si>
  <si>
    <t>Ebasoodsat mõju näitav väljund</t>
  </si>
  <si>
    <t xml:space="preserve">Sisendi täitmiseks on kaks võimalust: (1) ainult lihtpäring; (2) lihtpäring + detailne sisend. Detailse sisendi kõik lahtrid on mudeli poolt eeltäidetud hallides lahtrites. Kasutajal on soovitatav, kuid mitte nõutav detailse sisendi täitmine sinistes lahtrites, mispuhul mudel asendab valemid hallides lahtrites kasutajapoolse sisendiga.
Tumesiniste lahtrite täitmine on kohustuslik, helesiniste lahtrite täitmine soovitatav. Helekollaste lahtrite ülekirjutamine on lubatud. 
Kulude tabeli täitmisel võid piirduda vaid "Kulud kokku" reaga, kuid sellised juhul on mudeli väljund ebatäpsem. 
Hallid väljad dubleerivad helesiniseid välju. Hall väli pakub algul vaikimisi väärtuse, kasutaja saab selle sinisel väljal üle kirjutada
Täiendavaid instruktsioone vaata töölehelt "Juhend". </t>
  </si>
  <si>
    <t>LIHTPÄRING</t>
  </si>
  <si>
    <t>Sündmuse baasnäitajad: täida kõik tumesinised lahtrid, mudel neid ise ei prognoosi!</t>
  </si>
  <si>
    <t>Sündmuse nimetus</t>
  </si>
  <si>
    <t>Nimetu</t>
  </si>
  <si>
    <t>Külastajate (sh osalejate) arv</t>
  </si>
  <si>
    <t>Mudel töötab, kui külastajate arv on vahemikus 2000 - 50 000</t>
  </si>
  <si>
    <t>Sündmuse kestus, päeva</t>
  </si>
  <si>
    <t>Siia täisarv, vähemalt 1</t>
  </si>
  <si>
    <t>Sündmuse tüüp</t>
  </si>
  <si>
    <t>Kultuurisündmus</t>
  </si>
  <si>
    <t>Sündmuse KOV</t>
  </si>
  <si>
    <t>Saaremaa vald</t>
  </si>
  <si>
    <t>Eelarves on vahendid sündmuse turundamiseks välismaal</t>
  </si>
  <si>
    <t>Jah</t>
  </si>
  <si>
    <t>Otseülekannete geograafiline ulatus</t>
  </si>
  <si>
    <t>Oluline mitmes sihtriigis</t>
  </si>
  <si>
    <t>Kui laialdaselt tehakse sündmusest ametlikke teleülekandeid?</t>
  </si>
  <si>
    <t>Sündmuse toimumise kuu</t>
  </si>
  <si>
    <t>Juuli</t>
  </si>
  <si>
    <t>Millisel kuul toimub suurem osa sündmusest?</t>
  </si>
  <si>
    <t>Sündmuse toimumispaik</t>
  </si>
  <si>
    <t>Maastik</t>
  </si>
  <si>
    <t>Külastajate info: täida helesinised lahtrid kui sul on parem prognoos või  andmed kui mudelil</t>
  </si>
  <si>
    <t>Külastaja päritolu</t>
  </si>
  <si>
    <t>Osakaal, %</t>
  </si>
  <si>
    <t>Absoluutarv</t>
  </si>
  <si>
    <t>Öid Eestis, keskmiselt</t>
  </si>
  <si>
    <t>Öid sündmuse piirkonnas</t>
  </si>
  <si>
    <t>Väliskülastajad</t>
  </si>
  <si>
    <t>Sisekülastajad (teistest KOV-idest)</t>
  </si>
  <si>
    <t>Kohalikud (sama KOV-i) elanikud</t>
  </si>
  <si>
    <t>Kokku</t>
  </si>
  <si>
    <t>DETAILNE SISEND: ALLOLEVAID HELESINISEID LAHTREID ON SOOVITATAV (KUID MITTE NÕUTAV) ÜLE VAADATA JA TÄPSUSTADA</t>
  </si>
  <si>
    <t>Punasega on märgitud kõige tundlikum sisend!</t>
  </si>
  <si>
    <t>1. SÜNDMUSE EELARVE</t>
  </si>
  <si>
    <t>Tulud</t>
  </si>
  <si>
    <t>Kokku, koos maksudega</t>
  </si>
  <si>
    <t>Välismaa päritolu raha</t>
  </si>
  <si>
    <t>Eesti päritolu raha</t>
  </si>
  <si>
    <t>Sh kohalikku päritolu raha</t>
  </si>
  <si>
    <t>Sh muu Eesti raha</t>
  </si>
  <si>
    <t>Osalustasud, va piletitulu</t>
  </si>
  <si>
    <t>Piletitulu (publikult saadav)</t>
  </si>
  <si>
    <t>Muu müügitulu: meediatulu, meened jm</t>
  </si>
  <si>
    <t>Toetused ja sponsorrahad</t>
  </si>
  <si>
    <t>TULUD KOKKU</t>
  </si>
  <si>
    <t>Sh riigi toetus:</t>
  </si>
  <si>
    <t xml:space="preserve">Kulud  </t>
  </si>
  <si>
    <t>sh Eestis tehtavad kulud</t>
  </si>
  <si>
    <t>Kulud kokku</t>
  </si>
  <si>
    <t>Mudel ei prognoosi lihtpäringu põhjal alla 200 000 € sündmust</t>
  </si>
  <si>
    <t>Kuluread (täita andmete olemasolul)</t>
  </si>
  <si>
    <t>Kui kuluread on täidetud ja nende summad klapivad "KULUD KOKKU" reaga, siis on mudel täpsem</t>
  </si>
  <si>
    <t>Korraldajate ja osalejate transpordikulu</t>
  </si>
  <si>
    <t>Korraldajate ja osalejate majutuskulu</t>
  </si>
  <si>
    <t>Reklaami- ja turunduskulud</t>
  </si>
  <si>
    <t>Rahvusvaheliste tele- ja veebiülekannete kulud</t>
  </si>
  <si>
    <t>Tööjõukulud</t>
  </si>
  <si>
    <t>Oluline on näidata siin korraldaja poolt otse tehtavad, sotsiaalmakasuga maksustatavad kulud</t>
  </si>
  <si>
    <t>Muud kulud</t>
  </si>
  <si>
    <t>Eelnevatel ridadel kajastamata kulud</t>
  </si>
  <si>
    <t>Mudel võtab arvesse iga kulurida</t>
  </si>
  <si>
    <t>2. SOTSIAALMOODULI SISENDNÄITAJAD</t>
  </si>
  <si>
    <t>Kohalikele loodavad töökohad (täistööpäevad)</t>
  </si>
  <si>
    <t>Mitte ainult otseselt korraldaja poolt, vaid ka teiste osapoolte loodavad töökohad</t>
  </si>
  <si>
    <t>Kohalikest vabatahtlike arv</t>
  </si>
  <si>
    <t>Nii korraldaja kui ka muude organisatsioonide juures sündmuse tõttu töötavad vabatahtlikud</t>
  </si>
  <si>
    <t>3. KUVANDIMOODULI SISENDNÄITAJAD</t>
  </si>
  <si>
    <t>Sündmuse levik meedias</t>
  </si>
  <si>
    <t>Sündmuse levik sotsiaalmeedias</t>
  </si>
  <si>
    <t>Üle-Euroopalise tähtsusega</t>
  </si>
  <si>
    <t>Välismaal sündmuse turundusse suunatud raha</t>
  </si>
  <si>
    <t>Eestis sündmuse turundusse suunatud raha</t>
  </si>
  <si>
    <t>Otseülekannete vaatajaskonna prognoos</t>
  </si>
  <si>
    <t>Teleülekanded, ametlikud ülekanded veebis (sh Youtube, aga mitte muu sotsiaalmeedia)</t>
  </si>
  <si>
    <t>Sündmuse kanali jälgijaskond sotsiaalmeedias</t>
  </si>
  <si>
    <t>Sündmuse või korraldaja kodulehel esitletud sotsiaalmeedia platvormid</t>
  </si>
  <si>
    <t>Esinejate/võistlejate jälgijaskond sotsiaalmeedias</t>
  </si>
  <si>
    <t>Üle 100 000</t>
  </si>
  <si>
    <t>Rahvusvaheliselt tuntud esinejate või võistlejate jälgijaskond Instagramis, Facebookis ja TikTokis (kokku)</t>
  </si>
  <si>
    <t>Sündmuse meediapartnerid</t>
  </si>
  <si>
    <t>Rahvusvahelised (sh Eestisisesed)</t>
  </si>
  <si>
    <t>NB! Selle lehe lahtreid ei saa kasutaja muuta. 
Tulu tähendab vaikimisi tulu leibkondadele. Muudel juhtudel viidatakse maksutulule
Vaata ka selgitavaid jooniseid selle lehe paremas servas</t>
  </si>
  <si>
    <r>
      <rPr>
        <b val="1"/>
        <sz val="14"/>
        <color indexed="8"/>
        <rFont val="Calibri"/>
      </rPr>
      <t>Nimetu</t>
    </r>
  </si>
  <si>
    <t>KOKKUVÕTLIK HINNANG</t>
  </si>
  <si>
    <t>Koondhinnangu skaala</t>
  </si>
  <si>
    <t>Hinne</t>
  </si>
  <si>
    <t>Sotsiaal-majandusliku mõju koondhinnang</t>
  </si>
  <si>
    <r>
      <rPr>
        <b val="1"/>
        <sz val="11"/>
        <color indexed="8"/>
        <rFont val="Calibri"/>
      </rPr>
      <t>Mõõdukas soodne mõju</t>
    </r>
  </si>
  <si>
    <t>Suur soodne mõju</t>
  </si>
  <si>
    <t>(alumine piir)</t>
  </si>
  <si>
    <t>Üks Eesti poolt sündmusse pandud € toob Eestile:</t>
  </si>
  <si>
    <t>Oluline soodne mõju</t>
  </si>
  <si>
    <t>Sotsiaalne mõju</t>
  </si>
  <si>
    <r>
      <rPr>
        <b val="1"/>
        <sz val="11"/>
        <color indexed="8"/>
        <rFont val="Calibri"/>
      </rPr>
      <t>Oluline soodne mõju</t>
    </r>
  </si>
  <si>
    <t>Mõõdukas soodne mõju</t>
  </si>
  <si>
    <t>Mõju hooajalisusele</t>
  </si>
  <si>
    <t>Nõrk soodne mõju</t>
  </si>
  <si>
    <t>Ebasoodne mõju</t>
  </si>
  <si>
    <t>(ülemine piir)</t>
  </si>
  <si>
    <t>1. MAJANDUSMOODULI VÄLJUND</t>
  </si>
  <si>
    <t>Majandusmooduli väljundnäitajatest puudub ajafaktor, sest kirjedatakse sündmuse tulu ja tasuvust, sõltumata sellest, millal need tekkisid</t>
  </si>
  <si>
    <t>1.1. MAJANDUSLIK MÕJU</t>
  </si>
  <si>
    <t>Sündmuse enda lühiajaline tulu</t>
  </si>
  <si>
    <t>Kuvandi pikaajalise mõju tulu</t>
  </si>
  <si>
    <t>Kogutulu koos kuvandi pikaajalise mõjuga</t>
  </si>
  <si>
    <t>NB! Kuvandi mõju rahaline hinnang on suure määramatusega</t>
  </si>
  <si>
    <t>Tulu Eestile välisrahast</t>
  </si>
  <si>
    <t>Tulu, mis jõuab välismaalt Eesti elanikele kas otse korraldajalt, läbi ettevõtluse või ringiga läbi elanike majapidamiste</t>
  </si>
  <si>
    <t>Esmane tulu Eestile</t>
  </si>
  <si>
    <t>Tulu, mis jõuab Eesti elanikele kas otse korraldajalt või läbi ettevõtluse</t>
  </si>
  <si>
    <t>Otsene tulu Eestile</t>
  </si>
  <si>
    <t>Töötasu, mis jõuab otse sündmuse korraldajalt Eesti elanikele (leibkondadele)</t>
  </si>
  <si>
    <t>Kaudne tulu Eestile</t>
  </si>
  <si>
    <t>Ettevõtluse kaudu tekkiv tulu Eesti elanikele</t>
  </si>
  <si>
    <t>Esmane maksu- ja aktsiisitulu Eestile</t>
  </si>
  <si>
    <t>Maksutulu korraldajalt ning sündmusega seotud ettevõtetelt</t>
  </si>
  <si>
    <t>Esilekutsutud tulu Eestile</t>
  </si>
  <si>
    <t>Tulu, mis jõuab Eesti elanikele ringiga läbi elanike majapidamiste</t>
  </si>
  <si>
    <t>Kadu Eestist</t>
  </si>
  <si>
    <t>Eestist välja liikuv raha (miinusmärgiga)</t>
  </si>
  <si>
    <t>Kohalik tulu välismaalt ja mujalt Eestist</t>
  </si>
  <si>
    <t>Tulu, mis jõuab teistest piirkondadest kohalikele elanikele kas otse, läbi ettevõtluse või läbi elanike majapidamiste</t>
  </si>
  <si>
    <t>Esmane kohalik tulu</t>
  </si>
  <si>
    <t>Tulu, mis jõuab omavalitsusüksuse elanikele kas otse korraldajalt või läbi ettevõtluse</t>
  </si>
  <si>
    <t>Otsene kohalik tulu</t>
  </si>
  <si>
    <t>Töötasu, mis jõuab korraldajalt otse sündmuse toimumise omavalitsusüksuse elanikele</t>
  </si>
  <si>
    <t>Kaudne kohalik tulu</t>
  </si>
  <si>
    <t>Ettevõtluse kaudu tekkiv tulu omavalitsusüksuse elanikele</t>
  </si>
  <si>
    <t>Otsene kohalik maksutulu</t>
  </si>
  <si>
    <t>KOV-ile laekuv üksikisiku tulumaks korraldaja palgakulult</t>
  </si>
  <si>
    <t>Esilekutsutud kohalik tulu</t>
  </si>
  <si>
    <t>Tulu, mis jõuab omavalitsusüksuse elanikele ringiga läbi elanike majapidamiste</t>
  </si>
  <si>
    <t>Kohalik kadu</t>
  </si>
  <si>
    <t>KOV-ist välja liikuv raha (miinusmärgiga)</t>
  </si>
  <si>
    <t>1.2. TASUVUS</t>
  </si>
  <si>
    <t xml:space="preserve"> Eesti jaoks</t>
  </si>
  <si>
    <t>Kohaliku omavalitsusüksuse jaoks</t>
  </si>
  <si>
    <t>Eesti toetajate jaoks</t>
  </si>
  <si>
    <t>KOV toetuse jaoks</t>
  </si>
  <si>
    <t>Tasuvus eesti jaoks = kaubandusbilanss Eesti jaoks / Eesti kulud (sh piletiostjad)
Kohalik tasuvus = kaubandusbilanss omavalitsusüksuse jaoks / kohalikud kulud, sh piletiostjad
Tasuvus Eesti toetajate jaoks = kaubandusbilanss Eesti jaoks / siseriiklikud toetused
KOV toetuse tasuvus = kaubandusbilanss omavalitsusüksuse jaoks  / KOV toetus
Kaubandusbilanss = sihtpiirkonda tulev raha - sihtpiirkonnast välja liikuv raha</t>
  </si>
  <si>
    <t>Sündmuse tasuvus (kaubandusbilanns/investeering)</t>
  </si>
  <si>
    <t>ei toetata</t>
  </si>
  <si>
    <t xml:space="preserve">Kaubandusbilanss </t>
  </si>
  <si>
    <t>Tasuvus koos kuvandi mõjuga</t>
  </si>
  <si>
    <t>Üks sündmusse pandud euro toob tagasi:</t>
  </si>
  <si>
    <r>
      <rPr>
        <b val="1"/>
        <sz val="11"/>
        <color indexed="22"/>
        <rFont val="Calibri"/>
      </rPr>
      <t>ei toetata</t>
    </r>
  </si>
  <si>
    <t>Bilanss riigieelarve jaoks (esmane tulu - kulu)</t>
  </si>
  <si>
    <t xml:space="preserve">Bilanss riigieelarve jaoks on siin konservatiivne, arvestamata ei esilekutsutud ega kuvandi tulu </t>
  </si>
  <si>
    <t xml:space="preserve">Sündmust võiks lugeda tasuvaks, kui selle tasuvus on üle 0%. </t>
  </si>
  <si>
    <t>Kui sündmust ei toetata, pole võimalik selle tasuvust arvutada</t>
  </si>
  <si>
    <t>2. SOTSIAALMOODULI VÄLJUND</t>
  </si>
  <si>
    <t>Väärtused -1 kuni +5.</t>
  </si>
  <si>
    <t>Mõju kohalikule kogukonnale</t>
  </si>
  <si>
    <t>3. KUVANDIMOODULI VÄLJUND</t>
  </si>
  <si>
    <t>Väärtused 0 kuni 5.</t>
  </si>
  <si>
    <t>Kuvandi väljundnäitajad</t>
  </si>
  <si>
    <t>Mõju Eesti kuvandile</t>
  </si>
  <si>
    <t>Väga nõrk soodne mõju</t>
  </si>
  <si>
    <t>Mõju KOV-i kuvandile</t>
  </si>
  <si>
    <t>Mõju Eesti külastatavusele</t>
  </si>
  <si>
    <t>Mõju KOV-i külastatavusele</t>
  </si>
  <si>
    <t>Sündmuse mõjust tulenev pikaajaline rahasüst Eestisse</t>
  </si>
  <si>
    <t>Pikaajaline tulu, mis eeldab, et tänu paranenud kuvandile tuleb Eestisse rohkem väliskülastajaid</t>
  </si>
  <si>
    <t>Sh maksud</t>
  </si>
  <si>
    <t>Kuvandi mõjul saabuvate väliskülastajatelt saadav maksutulu</t>
  </si>
  <si>
    <t>Sündmuse mõjust tulenev pikaajaline rahasüst KOV-i</t>
  </si>
  <si>
    <t>Pikaajaline tulu, mis eeldab, et tänu paranenud kuvandile tuleb omavalitsusse rohkem väliskülastjaid</t>
  </si>
  <si>
    <t>Edasijõudnud kasutajal on võimalik parameetrite väärtusi muuta. Selle tulemusena muutub mudeli väljund.</t>
  </si>
  <si>
    <r>
      <rPr>
        <sz val="14"/>
        <color indexed="8"/>
        <rFont val="Calibri"/>
      </rPr>
      <t>Nimetu</t>
    </r>
  </si>
  <si>
    <t>MAJANDUSPARAMEETRID</t>
  </si>
  <si>
    <t>Majanduskordajad</t>
  </si>
  <si>
    <t>Ettevõtluskordaja</t>
  </si>
  <si>
    <t>Majapidamiskordaja</t>
  </si>
  <si>
    <t>Külastaja päevane kulu</t>
  </si>
  <si>
    <t>Väliskülastaja</t>
  </si>
  <si>
    <t>Sisekülastaja</t>
  </si>
  <si>
    <t>Eesti</t>
  </si>
  <si>
    <t>Toitlustus (restoranid, kohvikud, jms)</t>
  </si>
  <si>
    <t>Omavalitsusüksuse suurusklass</t>
  </si>
  <si>
    <t>Toidu ja jookide ost</t>
  </si>
  <si>
    <t>1 Elanikke üle 200 000 (Tallinn)</t>
  </si>
  <si>
    <t>Muude kaupade ost</t>
  </si>
  <si>
    <t>2 Elanikke 100 000 - 200 000 (Tartu)</t>
  </si>
  <si>
    <t>Majutus (hotellid, motellid, jms)</t>
  </si>
  <si>
    <t>3 Elanikke alla 100 000 (kõik muud)</t>
  </si>
  <si>
    <t>Ühistransport</t>
  </si>
  <si>
    <t>Maksumäärad</t>
  </si>
  <si>
    <t>Transport (autorent, mootorikütus, parkimine, jms)</t>
  </si>
  <si>
    <t>Standardne käibemaksu määr:</t>
  </si>
  <si>
    <t>Meelelahutus (sh kultuuriüritused)</t>
  </si>
  <si>
    <t>Korraldaja tulud</t>
  </si>
  <si>
    <t>Tüübi kood</t>
  </si>
  <si>
    <t>Piletitulu külastaja kohta</t>
  </si>
  <si>
    <t>Osalustasu külastaja kohta</t>
  </si>
  <si>
    <t>Muu müük külastaja kohta</t>
  </si>
  <si>
    <t>Majutuse käibemaksumäär:</t>
  </si>
  <si>
    <t>Kokku ilma pääsmeta</t>
  </si>
  <si>
    <t>RV transpordi käibemaksu määr:</t>
  </si>
  <si>
    <t>Osaluspõhine spordisündmus</t>
  </si>
  <si>
    <t>Tööjõumaksude määr:</t>
  </si>
  <si>
    <t>Maksud / tööandja kulu</t>
  </si>
  <si>
    <t>Korraldaja meediatulu</t>
  </si>
  <si>
    <t>Vaatajate arv</t>
  </si>
  <si>
    <t>Vaatajakeskne spordisündmus</t>
  </si>
  <si>
    <t>KOV-ile laekuva tööjõumaksu määr</t>
  </si>
  <si>
    <t>Teleülekanne puudub</t>
  </si>
  <si>
    <t>Alla 10 000</t>
  </si>
  <si>
    <t>Keskmine esmase tulu maksumäär</t>
  </si>
  <si>
    <t>Sündmuse tõttu piirkonnas viibivate sisekül osakaal kõigist sisekülastajaist</t>
  </si>
  <si>
    <t>Kohaliku tähtsusega</t>
  </si>
  <si>
    <t>Keskmine tööjõukulu tööpäeva kohta</t>
  </si>
  <si>
    <t>Sündm tõttu piirk viibivate väliskül osakaal kõigist väliskülastajaist</t>
  </si>
  <si>
    <t>Üle-eestilise tähtsusega</t>
  </si>
  <si>
    <t>Üle 10 000</t>
  </si>
  <si>
    <t>Sündmuse tüübi kood</t>
  </si>
  <si>
    <t>Rahvusvahelisuse määr</t>
  </si>
  <si>
    <t>Oluline ühes sihtriigis</t>
  </si>
  <si>
    <t>Üle 50 000</t>
  </si>
  <si>
    <t>Sisesaatjate osakaal suhtena sisekülastajate arvuga</t>
  </si>
  <si>
    <t>Välissaatjate osakaal suhtena väliskülastajate arvuga</t>
  </si>
  <si>
    <t>Oluline Läänemere regioonis</t>
  </si>
  <si>
    <t>Üle 1 000 000</t>
  </si>
  <si>
    <t>Üle 10 000 000</t>
  </si>
  <si>
    <t>Ülemaailmse tähtsusega</t>
  </si>
  <si>
    <t>MUUD PARAMEETRID</t>
  </si>
  <si>
    <t>Sündmuse meediatulu</t>
  </si>
  <si>
    <t>Kuu</t>
  </si>
  <si>
    <t>Kõrg- või madalsesoon</t>
  </si>
  <si>
    <t>Sesooni aste</t>
  </si>
  <si>
    <t>Tüüp</t>
  </si>
  <si>
    <t>Seotus kohaga</t>
  </si>
  <si>
    <t>Kohaliku kultuuri levitamine</t>
  </si>
  <si>
    <t>Mõju turvalisusele</t>
  </si>
  <si>
    <t>Indikaator</t>
  </si>
  <si>
    <t>Ürituse levik välismeedias</t>
  </si>
  <si>
    <t>Jaanuar</t>
  </si>
  <si>
    <t>M</t>
  </si>
  <si>
    <t>Ürituse levik sotsiaalmeedias </t>
  </si>
  <si>
    <t>Veebruar</t>
  </si>
  <si>
    <t>Ülekannete geograafiline ulatus</t>
  </si>
  <si>
    <t>Märts</t>
  </si>
  <si>
    <t>Aprill</t>
  </si>
  <si>
    <t>Esinejate sots meedia kordaja</t>
  </si>
  <si>
    <t>Mai</t>
  </si>
  <si>
    <t>Ei</t>
  </si>
  <si>
    <t>Juuni</t>
  </si>
  <si>
    <t>K</t>
  </si>
  <si>
    <t>Levik (Eesti)</t>
  </si>
  <si>
    <t>Külastajad</t>
  </si>
  <si>
    <t>Sotsiaalmeedia</t>
  </si>
  <si>
    <t>Meedia</t>
  </si>
  <si>
    <t>Ülekanded</t>
  </si>
  <si>
    <t>KOV-is elanikke</t>
  </si>
  <si>
    <t>Jah/Ei</t>
  </si>
  <si>
    <t>August</t>
  </si>
  <si>
    <t>September</t>
  </si>
  <si>
    <t>Väliskülastajad + turundus</t>
  </si>
  <si>
    <t>Oktoober</t>
  </si>
  <si>
    <t>November</t>
  </si>
  <si>
    <t>Detsember</t>
  </si>
  <si>
    <t>Kas eelarves on vahendid sündmuse turundamiseks välismaal?</t>
  </si>
  <si>
    <t>Sündmuse sesoon</t>
  </si>
  <si>
    <r>
      <rPr>
        <b val="1"/>
        <sz val="11"/>
        <color indexed="9"/>
        <rFont val="Calibri"/>
      </rPr>
      <t>K</t>
    </r>
  </si>
  <si>
    <t>Levik (KOV)</t>
  </si>
  <si>
    <t>Kanali jälgijaskond</t>
  </si>
  <si>
    <t>Esinejate jälgijaskond</t>
  </si>
  <si>
    <t>Sotsiaalsed väljundnäitajad</t>
  </si>
  <si>
    <t>Oluline mõju puudub</t>
  </si>
  <si>
    <t>Sündmuse tüübi kordaja</t>
  </si>
  <si>
    <t>KOV</t>
  </si>
  <si>
    <t>Ülekande vaatajaid väliskülastaja kohta</t>
  </si>
  <si>
    <t>Turundusse suunatud raha</t>
  </si>
  <si>
    <t>Parameeter</t>
  </si>
  <si>
    <t>Üle-Eestilise tähtsusega</t>
  </si>
  <si>
    <t>Puuduvad</t>
  </si>
  <si>
    <t>Eestisisesed</t>
  </si>
  <si>
    <t>Jälgijaskond</t>
  </si>
  <si>
    <t>Staadion</t>
  </si>
  <si>
    <t>Spordi- või kontserthall</t>
  </si>
  <si>
    <t>Avatud linnaruum</t>
  </si>
  <si>
    <t>Suletud linnaruum, nt lauluväljak</t>
  </si>
  <si>
    <t>Korraldaja rahasüst</t>
  </si>
  <si>
    <t>Korraldaja kulu</t>
  </si>
  <si>
    <t>Välismaalt pärinev raha</t>
  </si>
  <si>
    <t>Välismaalt Eestisse liikuv raha</t>
  </si>
  <si>
    <t>sh välismaa rahadest esmane maksutulu Eestile</t>
  </si>
  <si>
    <t>Kohalike kulude osakaal Eestis tehtavatest kuludest</t>
  </si>
  <si>
    <t>Kohalik välismaine rahasüst</t>
  </si>
  <si>
    <t>Kohalik kodumaine rahasüst</t>
  </si>
  <si>
    <t>Eestisse jõudev kaupade, teenuste ja investeeringute süst</t>
  </si>
  <si>
    <t>Tulu Eestile</t>
  </si>
  <si>
    <t>Esmane maksutulu Eestile</t>
  </si>
  <si>
    <t>Kohalik kaupade, teenuste ja investeeringute süst</t>
  </si>
  <si>
    <t>Kohalik tulu</t>
  </si>
  <si>
    <t>KOKKU LÄBI KORRALDAJA</t>
  </si>
  <si>
    <r>
      <rPr>
        <b val="1"/>
        <sz val="11"/>
        <color indexed="8"/>
        <rFont val="Calibri"/>
      </rPr>
      <t>KOKKU LÄBI KORRALDAJA</t>
    </r>
  </si>
  <si>
    <t xml:space="preserve">Sündmuse tõttu piirkonnas viibivad inimesed </t>
  </si>
  <si>
    <t>Kõik kokku</t>
  </si>
  <si>
    <t>Kohalikud</t>
  </si>
  <si>
    <t>Mujalt Eestist</t>
  </si>
  <si>
    <t>Välisriikidest</t>
  </si>
  <si>
    <t>Sündm kestus, p</t>
  </si>
  <si>
    <t>Eestist välismaale liikuv raha</t>
  </si>
  <si>
    <t>KOV-ist välismaale liikuv raha</t>
  </si>
  <si>
    <t>KOV-ist mujale Eestisse raha</t>
  </si>
  <si>
    <t>KOV-ist ära liikuv raha</t>
  </si>
  <si>
    <t>LÄBI KORRALDAJA</t>
  </si>
  <si>
    <t>Omavalitsusüksuse suurusklass:</t>
  </si>
  <si>
    <t>maapiirkond</t>
  </si>
  <si>
    <t>Sündmuse külastajad (sh osalejad) kokku</t>
  </si>
  <si>
    <t>Kütuseaktsiisi osakaal kütusekulust</t>
  </si>
  <si>
    <t>Kohalik ettevõtluskordaja:</t>
  </si>
  <si>
    <t>Nendest sündmuse tõttu piirkonnas viibivad</t>
  </si>
  <si>
    <t>Aktsiiside osakaal toitlustuse kulust</t>
  </si>
  <si>
    <t>Kohalik majapidamiskordaja:</t>
  </si>
  <si>
    <t>Saatjad, kes ei külasta üritust</t>
  </si>
  <si>
    <t>Kulude arvutamise alus (1 - ridade kaupa; 2 - summa)</t>
  </si>
  <si>
    <t>Tööjõumaksude määr</t>
  </si>
  <si>
    <t>Eesti ettevõtluskordaja:</t>
  </si>
  <si>
    <t>KOV-ile laekuva tööjõumaksu määr:</t>
  </si>
  <si>
    <t>Eesti majapidamiskordaja:</t>
  </si>
  <si>
    <t>Külastajate rahasüst</t>
  </si>
  <si>
    <t>Väliskülastajate rahasüst Eestisse</t>
  </si>
  <si>
    <t>Väliskülastajate kohalike kulude osakaal</t>
  </si>
  <si>
    <t>Väliskülastajate kohalik rahasüst</t>
  </si>
  <si>
    <t>Sisekülastajate kohalik rahasüst</t>
  </si>
  <si>
    <r>
      <rPr>
        <b val="1"/>
        <sz val="11"/>
        <color indexed="22"/>
        <rFont val="Calibri"/>
      </rPr>
      <t>Otsene kohalik tulu</t>
    </r>
  </si>
  <si>
    <r>
      <rPr>
        <b val="1"/>
        <sz val="11"/>
        <color indexed="22"/>
        <rFont val="Calibri"/>
      </rPr>
      <t>Kohalik kaupade, teenuste ja investeeringute süst</t>
    </r>
  </si>
  <si>
    <r>
      <rPr>
        <b val="1"/>
        <sz val="11"/>
        <color indexed="22"/>
        <rFont val="Calibri"/>
      </rPr>
      <t>Kaudne kohalik tulu</t>
    </r>
  </si>
  <si>
    <r>
      <rPr>
        <b val="1"/>
        <sz val="11"/>
        <color indexed="22"/>
        <rFont val="Calibri"/>
      </rPr>
      <t>Esmane kohalik tulu</t>
    </r>
  </si>
  <si>
    <r>
      <rPr>
        <b val="1"/>
        <sz val="11"/>
        <color indexed="22"/>
        <rFont val="Calibri"/>
      </rPr>
      <t>Esilekutsutud kohalik tulu</t>
    </r>
  </si>
  <si>
    <r>
      <rPr>
        <b val="1"/>
        <sz val="11"/>
        <color indexed="22"/>
        <rFont val="Calibri"/>
      </rPr>
      <t>Kohalik tulu</t>
    </r>
  </si>
  <si>
    <r>
      <rPr>
        <b val="1"/>
        <sz val="11"/>
        <color indexed="22"/>
        <rFont val="Calibri"/>
      </rPr>
      <t>Otsene kohalik maksutulu</t>
    </r>
  </si>
  <si>
    <t>KOKKU LÄBI KÜLASTAJATE</t>
  </si>
  <si>
    <r>
      <rPr>
        <b val="1"/>
        <sz val="11"/>
        <color indexed="8"/>
        <rFont val="Calibri"/>
      </rPr>
      <t>KOKKU LÄBI KÜLASTAJATE</t>
    </r>
  </si>
  <si>
    <t>MAJANDUSMOODULI VÄLJUND</t>
  </si>
  <si>
    <r>
      <rPr>
        <b val="1"/>
        <sz val="11"/>
        <color indexed="8"/>
        <rFont val="Calibri"/>
      </rPr>
      <t>Otsene tulu Eestile</t>
    </r>
  </si>
  <si>
    <r>
      <rPr>
        <b val="1"/>
        <sz val="11"/>
        <color indexed="8"/>
        <rFont val="Calibri"/>
      </rPr>
      <t>Eestisse jõudev kaupade, teenuste ja investeeringute süst</t>
    </r>
  </si>
  <si>
    <r>
      <rPr>
        <b val="1"/>
        <sz val="11"/>
        <color indexed="8"/>
        <rFont val="Calibri"/>
      </rPr>
      <t>Kaudne tulu Eestile</t>
    </r>
  </si>
  <si>
    <r>
      <rPr>
        <b val="1"/>
        <sz val="11"/>
        <color indexed="8"/>
        <rFont val="Calibri"/>
      </rPr>
      <t>Esmane tulu Eestile</t>
    </r>
  </si>
  <si>
    <r>
      <rPr>
        <b val="1"/>
        <sz val="11"/>
        <color indexed="8"/>
        <rFont val="Calibri"/>
      </rPr>
      <t>Esilekutsutud tulu Eestile</t>
    </r>
  </si>
  <si>
    <r>
      <rPr>
        <b val="1"/>
        <sz val="11"/>
        <color indexed="8"/>
        <rFont val="Calibri"/>
      </rPr>
      <t>Tulu Eestile</t>
    </r>
  </si>
  <si>
    <r>
      <rPr>
        <b val="1"/>
        <sz val="11"/>
        <color indexed="8"/>
        <rFont val="Calibri"/>
      </rPr>
      <t>Esmane maksutulu Eestile</t>
    </r>
  </si>
  <si>
    <r>
      <rPr>
        <b val="1"/>
        <sz val="11"/>
        <color indexed="8"/>
        <rFont val="Calibri"/>
      </rPr>
      <t>Otsene kohalik tulu</t>
    </r>
  </si>
  <si>
    <r>
      <rPr>
        <b val="1"/>
        <sz val="11"/>
        <color indexed="8"/>
        <rFont val="Calibri"/>
      </rPr>
      <t>Kohalik kaupade, teenuste ja investeeringute süst</t>
    </r>
  </si>
  <si>
    <r>
      <rPr>
        <b val="1"/>
        <sz val="11"/>
        <color indexed="8"/>
        <rFont val="Calibri"/>
      </rPr>
      <t>Kaudne kohalik tulu</t>
    </r>
  </si>
  <si>
    <r>
      <rPr>
        <b val="1"/>
        <sz val="11"/>
        <color indexed="8"/>
        <rFont val="Calibri"/>
      </rPr>
      <t>Esmane kohalik tulu</t>
    </r>
  </si>
  <si>
    <r>
      <rPr>
        <b val="1"/>
        <sz val="11"/>
        <color indexed="8"/>
        <rFont val="Calibri"/>
      </rPr>
      <t>Esilekutsutud kohalik tulu</t>
    </r>
  </si>
  <si>
    <r>
      <rPr>
        <b val="1"/>
        <sz val="11"/>
        <color indexed="8"/>
        <rFont val="Calibri"/>
      </rPr>
      <t>Kohalik tulu</t>
    </r>
  </si>
  <si>
    <r>
      <rPr>
        <b val="1"/>
        <sz val="11"/>
        <color indexed="8"/>
        <rFont val="Calibri"/>
      </rPr>
      <t>Otsene kohalik maksutulu</t>
    </r>
  </si>
  <si>
    <t xml:space="preserve">Sündmuse tulu </t>
  </si>
  <si>
    <t>Sisendnäitajad</t>
  </si>
  <si>
    <t>Eesti kuvand</t>
  </si>
  <si>
    <t>Näost-näkku</t>
  </si>
  <si>
    <t>Reklaam</t>
  </si>
  <si>
    <t>KOKKU</t>
  </si>
  <si>
    <t>Vahenäitajad</t>
  </si>
  <si>
    <t>Külastajate arv</t>
  </si>
  <si>
    <t>Külastused</t>
  </si>
  <si>
    <t>Sündmuse tõttu saabunud väliskülastajate arv</t>
  </si>
  <si>
    <t>Väliskülastajate arv</t>
  </si>
  <si>
    <t>Soovitamine</t>
  </si>
  <si>
    <t>Sündmuse tõttu saabunud sisekülastajate arv</t>
  </si>
  <si>
    <t>Siseturistide arv</t>
  </si>
  <si>
    <t>Osakaal</t>
  </si>
  <si>
    <t>KOV-i elanike arv</t>
  </si>
  <si>
    <t>Esinejad</t>
  </si>
  <si>
    <t>Korduvkülastuse kavatsusega külastajate arv</t>
  </si>
  <si>
    <t>Sündmus</t>
  </si>
  <si>
    <t>Esmakordselt Eestit külastas</t>
  </si>
  <si>
    <t>Kordaja</t>
  </si>
  <si>
    <t>Sündmuse levik sotsiaalmeedias </t>
  </si>
  <si>
    <t>Osakaal eelarvest</t>
  </si>
  <si>
    <t>Meediapartnerid</t>
  </si>
  <si>
    <t>1-2 korda Eestit külastanud</t>
  </si>
  <si>
    <t>Levik meedias</t>
  </si>
  <si>
    <t>Külastamismäär</t>
  </si>
  <si>
    <t>Näost-näkku levik</t>
  </si>
  <si>
    <t>Ülekannete vaatajaskonna prognoos välismaal</t>
  </si>
  <si>
    <t>Koond</t>
  </si>
  <si>
    <t>Sündmuse kanali jälgijaskond sotsiaalmeedia platvormidel</t>
  </si>
  <si>
    <t>Maksimaalne</t>
  </si>
  <si>
    <t>Sündmuse esinejate/võistlejate jälgijaskond sotsiaalmeedias</t>
  </si>
  <si>
    <t>CPC</t>
  </si>
  <si>
    <t>Sündmust turundatakse välismaal</t>
  </si>
  <si>
    <t>KOV-i kuvand</t>
  </si>
  <si>
    <t>Klikke välismaal</t>
  </si>
  <si>
    <t>Klikke Eestis</t>
  </si>
  <si>
    <t>Jagab sotsiaalmeedias</t>
  </si>
  <si>
    <t>Väljundnäitajad (skaalal 0 kuni +5)</t>
  </si>
  <si>
    <t>Kuvandi mõjutajad</t>
  </si>
  <si>
    <t>Külastatavus</t>
  </si>
  <si>
    <t>Külastab uuesti</t>
  </si>
  <si>
    <t>Soovituste mõju</t>
  </si>
  <si>
    <t>Rahaline</t>
  </si>
  <si>
    <t>sh maksud</t>
  </si>
  <si>
    <t>Sisendnäitaja</t>
  </si>
  <si>
    <t>Väärtus</t>
  </si>
  <si>
    <t>Elukvaliteet</t>
  </si>
  <si>
    <t>Sotsiaalne kapital</t>
  </si>
  <si>
    <t>Uhkus</t>
  </si>
  <si>
    <t>Tunnetus</t>
  </si>
  <si>
    <t>Arendamine</t>
  </si>
  <si>
    <t xml:space="preserve">Vabatahtlike kordaja </t>
  </si>
  <si>
    <t>Külastajate + osalejate arv</t>
  </si>
  <si>
    <t>Tööhõive</t>
  </si>
  <si>
    <t>Töötajate kordaja</t>
  </si>
  <si>
    <t>Turistide arv (väljastpoolt KOV-i)</t>
  </si>
  <si>
    <t>Turvalisus</t>
  </si>
  <si>
    <t>Kohalikest elanikest külastajate + osalejate arv</t>
  </si>
  <si>
    <t>Tervis</t>
  </si>
  <si>
    <t xml:space="preserve">Sündmuse tüüp </t>
  </si>
  <si>
    <t>Külastajad ja kohalikud</t>
  </si>
  <si>
    <t>Omavalitsuses elanikke</t>
  </si>
  <si>
    <t>Kohalike uhkus</t>
  </si>
  <si>
    <t>Ühtekuuluvus</t>
  </si>
  <si>
    <t>Vaba aja veetmine</t>
  </si>
  <si>
    <t>Väljundnäitaja</t>
  </si>
  <si>
    <t>Vabatahtlikud</t>
  </si>
  <si>
    <t>Vabatahtlikke kokku (lihtpäring)</t>
  </si>
  <si>
    <t>Mõju kohalikule kogukonnale (0 kuni +20)</t>
  </si>
  <si>
    <r>
      <rPr>
        <b val="1"/>
        <sz val="11"/>
        <color indexed="9"/>
        <rFont val="Calibri"/>
      </rPr>
      <t>Saaremaa vald</t>
    </r>
  </si>
  <si>
    <t>Mõju skaalal -1 kuni +5</t>
  </si>
  <si>
    <t xml:space="preserve">RV0282U: RAHVASTIK, 1. JAANUAR | </t>
  </si>
  <si>
    <t>2023</t>
  </si>
  <si>
    <t>Alutaguse vald</t>
  </si>
  <si>
    <t>Valik</t>
  </si>
  <si>
    <t>Anija vald</t>
  </si>
  <si>
    <t>Antsla vald</t>
  </si>
  <si>
    <t>Elva vald</t>
  </si>
  <si>
    <t>Häädemeeste vald</t>
  </si>
  <si>
    <t>Haapsalu linn</t>
  </si>
  <si>
    <t>Haljala vald</t>
  </si>
  <si>
    <t>Harku vald</t>
  </si>
  <si>
    <t>Hiiumaa vald</t>
  </si>
  <si>
    <t>Järva vald</t>
  </si>
  <si>
    <t>Jõelähtme vald</t>
  </si>
  <si>
    <t>Jõgeva vald</t>
  </si>
  <si>
    <t>Jõhvi vald</t>
  </si>
  <si>
    <t>Kadrina vald</t>
  </si>
  <si>
    <t>Kambja vald</t>
  </si>
  <si>
    <t>Kanepi vald</t>
  </si>
  <si>
    <t>Kastre vald</t>
  </si>
  <si>
    <t>Kehtna vald</t>
  </si>
  <si>
    <t>Keila linn</t>
  </si>
  <si>
    <t>Kihnu vald</t>
  </si>
  <si>
    <t>Kiili vald</t>
  </si>
  <si>
    <t>Kohila vald</t>
  </si>
  <si>
    <t>Kohtla-Järve linn</t>
  </si>
  <si>
    <t>Kose vald</t>
  </si>
  <si>
    <t>Kuusalu vald</t>
  </si>
  <si>
    <t>Lääne-Harju vald</t>
  </si>
  <si>
    <t>Lääne-Nigula vald</t>
  </si>
  <si>
    <t>Lääneranna vald</t>
  </si>
  <si>
    <t>Loksa linn</t>
  </si>
  <si>
    <t>Lüganuse vald</t>
  </si>
  <si>
    <t>Luunja vald</t>
  </si>
  <si>
    <t>Maardu linn</t>
  </si>
  <si>
    <t>Märjamaa vald</t>
  </si>
  <si>
    <t>Muhu vald</t>
  </si>
  <si>
    <t>Mulgi vald</t>
  </si>
  <si>
    <t>Mustvee vald</t>
  </si>
  <si>
    <t>Narva linn</t>
  </si>
  <si>
    <t>Narva-Jõesuu linn</t>
  </si>
  <si>
    <t>Nõo vald</t>
  </si>
  <si>
    <t>Otepää vald</t>
  </si>
  <si>
    <t>Paide linn</t>
  </si>
  <si>
    <t>Pärnu linn</t>
  </si>
  <si>
    <t>Peipsiääre vald</t>
  </si>
  <si>
    <t>Põhja-Pärnumaa vald</t>
  </si>
  <si>
    <t>Põhja-Sakala vald</t>
  </si>
  <si>
    <t>Põltsamaa vald</t>
  </si>
  <si>
    <t>Põlva vald</t>
  </si>
  <si>
    <t>Raasiku vald</t>
  </si>
  <si>
    <t>Rae vald</t>
  </si>
  <si>
    <t>Rakvere linn</t>
  </si>
  <si>
    <t>Rakvere vald</t>
  </si>
  <si>
    <t>Räpina vald</t>
  </si>
  <si>
    <t>Rapla vald</t>
  </si>
  <si>
    <t>Rõuge vald</t>
  </si>
  <si>
    <t>Ruhnu vald</t>
  </si>
  <si>
    <t>Saarde vald</t>
  </si>
  <si>
    <t>Saku vald</t>
  </si>
  <si>
    <t>Saue vald</t>
  </si>
  <si>
    <t>Setomaa vald</t>
  </si>
  <si>
    <t>Sillamäe linn</t>
  </si>
  <si>
    <t>Tallinn</t>
  </si>
  <si>
    <t>Tapa vald</t>
  </si>
  <si>
    <t>Tartu linn</t>
  </si>
  <si>
    <t>Tartu vald</t>
  </si>
  <si>
    <t>Toila vald</t>
  </si>
  <si>
    <t>Tori vald</t>
  </si>
  <si>
    <t>Tõrva vald</t>
  </si>
  <si>
    <t>Türi vald</t>
  </si>
  <si>
    <t>Väike-Maarja vald</t>
  </si>
  <si>
    <t>Valga vald</t>
  </si>
  <si>
    <t>Viimsi vald</t>
  </si>
  <si>
    <t>Viljandi linn</t>
  </si>
  <si>
    <t>Viljandi vald</t>
  </si>
  <si>
    <t>Vinni vald</t>
  </si>
  <si>
    <t>Viru-Nigula vald</t>
  </si>
  <si>
    <t>Vormsi vald</t>
  </si>
  <si>
    <t>Võru linn</t>
  </si>
  <si>
    <t>Võru vald</t>
  </si>
  <si>
    <t>Muu piirkond</t>
  </si>
  <si>
    <t>Sisemine referentskood:</t>
  </si>
  <si>
    <t>RV0282U</t>
  </si>
</sst>
</file>

<file path=xl/styles.xml><?xml version="1.0" encoding="utf-8"?>
<styleSheet xmlns="http://schemas.openxmlformats.org/spreadsheetml/2006/main">
  <numFmts count="17">
    <numFmt numFmtId="0" formatCode="General"/>
    <numFmt numFmtId="59" formatCode="&quot; &quot;* #,##0&quot; € &quot;;&quot;-&quot;* #,##0&quot; € &quot;;&quot; &quot;* &quot;-&quot;??&quot; € &quot;"/>
    <numFmt numFmtId="60" formatCode="#,##0&quot; €&quot;"/>
    <numFmt numFmtId="61" formatCode="&quot; &quot;* #,##0&quot; € &quot;;&quot;-&quot;* #,##0&quot; € &quot;;&quot; &quot;* &quot;- € &quot;"/>
    <numFmt numFmtId="62" formatCode="#,##0&quot; &quot;;(#,##0)"/>
    <numFmt numFmtId="63" formatCode="&quot; &quot;* #,##0&quot; &quot;[$EEK]&quot; &quot;;&quot;-&quot;* #,##0&quot; &quot;[$EEK]&quot; &quot;;&quot; &quot;* &quot;-&quot;??&quot; &quot;[$EEK]&quot; &quot;"/>
    <numFmt numFmtId="64" formatCode="&quot; &quot;* #,##0&quot; &quot;;&quot; &quot;* (#,##0);&quot; &quot;* &quot;-&quot;??&quot; &quot;"/>
    <numFmt numFmtId="65" formatCode="&quot; &quot;* #,##0&quot; &quot;;&quot;-&quot;* #,##0&quot; &quot;;&quot; &quot;* &quot;-&quot;??&quot; &quot;"/>
    <numFmt numFmtId="66" formatCode="&quot; &quot;* #,##0.00&quot; &quot;[$EEK]&quot; &quot;;&quot;-&quot;* #,##0.00&quot; &quot;[$EEK]&quot; &quot;;&quot; &quot;* &quot;-&quot;??&quot; &quot;[$EEK]&quot; &quot;"/>
    <numFmt numFmtId="67" formatCode="0.0"/>
    <numFmt numFmtId="68" formatCode="#,##0.00&quot; €&quot;"/>
    <numFmt numFmtId="69" formatCode="&quot; &quot;* #,##0.00&quot; € &quot;;&quot;-&quot;* #,##0.00&quot; € &quot;;&quot; &quot;* &quot;-&quot;??&quot; € &quot;"/>
    <numFmt numFmtId="70" formatCode="&quot; &quot;* #,##0&quot; &quot;[$EEK]&quot; &quot;;&quot;-&quot;* #,##0&quot; &quot;[$EEK]&quot; &quot;;&quot; &quot;* &quot;- &quot;[$EEK]&quot; &quot;"/>
    <numFmt numFmtId="71" formatCode="&quot; &quot;[$€-2]&quot; &quot;* #.000##&quot; &quot;;&quot;-&quot;[$€-2]&quot; &quot;* #.000##&quot; &quot;;&quot; &quot;[$€-2]&quot; &quot;* &quot;-&quot;??&quot; &quot;"/>
    <numFmt numFmtId="72" formatCode="#,##0&quot;  &quot;"/>
    <numFmt numFmtId="73" formatCode="&quot; &quot;* #,##0&quot;   &quot;;&quot;-&quot;* #,##0&quot;   &quot;;&quot; &quot;* &quot;-   &quot;"/>
    <numFmt numFmtId="74" formatCode="&quot; &quot;* #,##0.00&quot; &quot;;&quot; &quot;* (#,##0.00);&quot; &quot;* &quot;-&quot;??&quot; &quot;"/>
  </numFmts>
  <fonts count="24">
    <font>
      <sz val="11"/>
      <color indexed="8"/>
      <name val="Calibri"/>
    </font>
    <font>
      <sz val="12"/>
      <color indexed="8"/>
      <name val="Helvetica Neue"/>
    </font>
    <font>
      <sz val="15"/>
      <color indexed="8"/>
      <name val="Calibri"/>
    </font>
    <font>
      <b val="1"/>
      <sz val="14"/>
      <color indexed="8"/>
      <name val="Calibri"/>
    </font>
    <font>
      <b val="1"/>
      <sz val="11"/>
      <color indexed="8"/>
      <name val="Calibri"/>
    </font>
    <font>
      <b val="1"/>
      <sz val="11"/>
      <color indexed="9"/>
      <name val="Calibri"/>
    </font>
    <font>
      <b val="1"/>
      <sz val="11"/>
      <color indexed="22"/>
      <name val="Calibri"/>
    </font>
    <font>
      <b val="1"/>
      <sz val="11"/>
      <color indexed="20"/>
      <name val="Calibri"/>
    </font>
    <font>
      <b val="1"/>
      <i val="1"/>
      <sz val="11"/>
      <color indexed="8"/>
      <name val="Calibri"/>
    </font>
    <font>
      <sz val="11"/>
      <color indexed="8"/>
      <name val="Helvetica Neue"/>
    </font>
    <font>
      <b val="1"/>
      <sz val="12"/>
      <color indexed="8"/>
      <name val="Calibri"/>
    </font>
    <font>
      <sz val="11"/>
      <color indexed="20"/>
      <name val="Calibri"/>
    </font>
    <font>
      <i val="1"/>
      <sz val="11"/>
      <color indexed="8"/>
      <name val="Calibri"/>
    </font>
    <font>
      <sz val="11"/>
      <color indexed="8"/>
      <name val="Times New Roman"/>
    </font>
    <font>
      <i val="1"/>
      <sz val="11"/>
      <color indexed="8"/>
      <name val="Times New Roman"/>
    </font>
    <font>
      <b val="1"/>
      <sz val="11"/>
      <color indexed="8"/>
      <name val="Times New Roman"/>
    </font>
    <font>
      <b val="1"/>
      <i val="1"/>
      <sz val="11"/>
      <color indexed="8"/>
      <name val="Times New Roman"/>
    </font>
    <font>
      <b val="1"/>
      <sz val="11"/>
      <color indexed="31"/>
      <name val="Calibri"/>
    </font>
    <font>
      <b val="1"/>
      <i val="1"/>
      <sz val="11"/>
      <color indexed="9"/>
      <name val="Calibri"/>
    </font>
    <font>
      <i val="1"/>
      <sz val="10"/>
      <color indexed="8"/>
      <name val="Calibri"/>
    </font>
    <font>
      <sz val="10"/>
      <color indexed="8"/>
      <name val="Calibri"/>
    </font>
    <font>
      <sz val="14"/>
      <color indexed="8"/>
      <name val="Calibri"/>
    </font>
    <font>
      <sz val="11"/>
      <color indexed="9"/>
      <name val="Calibri"/>
    </font>
    <font>
      <sz val="11"/>
      <color indexed="36"/>
      <name val="Calibri"/>
    </font>
  </fonts>
  <fills count="23">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3"/>
        <bgColor auto="1"/>
      </patternFill>
    </fill>
    <fill>
      <patternFill patternType="solid">
        <fgColor indexed="27"/>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
      <patternFill patternType="solid">
        <fgColor indexed="33"/>
        <bgColor auto="1"/>
      </patternFill>
    </fill>
    <fill>
      <patternFill patternType="solid">
        <fgColor indexed="34"/>
        <bgColor auto="1"/>
      </patternFill>
    </fill>
    <fill>
      <patternFill patternType="solid">
        <fgColor indexed="8"/>
        <bgColor auto="1"/>
      </patternFill>
    </fill>
    <fill>
      <patternFill patternType="solid">
        <fgColor indexed="35"/>
        <bgColor auto="1"/>
      </patternFill>
    </fill>
  </fills>
  <borders count="77">
    <border>
      <left/>
      <right/>
      <top/>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8"/>
      </right>
      <top style="thin">
        <color indexed="10"/>
      </top>
      <bottom style="thin">
        <color indexed="10"/>
      </bottom>
      <diagonal/>
    </border>
    <border>
      <left style="thin">
        <color indexed="8"/>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8"/>
      </top>
      <bottom style="thin">
        <color indexed="10"/>
      </bottom>
      <diagonal/>
    </border>
    <border>
      <left style="thin">
        <color indexed="8"/>
      </left>
      <right style="thin">
        <color indexed="10"/>
      </right>
      <top style="thin">
        <color indexed="10"/>
      </top>
      <bottom/>
      <diagonal/>
    </border>
    <border>
      <left style="thin">
        <color indexed="8"/>
      </left>
      <right/>
      <top/>
      <bottom/>
      <diagonal/>
    </border>
    <border>
      <left/>
      <right style="thin">
        <color indexed="10"/>
      </right>
      <top style="thin">
        <color indexed="10"/>
      </top>
      <bottom style="thin">
        <color indexed="10"/>
      </bottom>
      <diagonal/>
    </border>
    <border>
      <left style="thin">
        <color indexed="8"/>
      </left>
      <right style="thin">
        <color indexed="10"/>
      </right>
      <top/>
      <bottom style="thin">
        <color indexed="10"/>
      </bottom>
      <diagonal/>
    </border>
    <border>
      <left style="thin">
        <color indexed="10"/>
      </left>
      <right style="thin">
        <color indexed="10"/>
      </right>
      <top style="thin">
        <color indexed="10"/>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diagonal/>
    </border>
    <border>
      <left style="thin">
        <color indexed="10"/>
      </left>
      <right style="thin">
        <color indexed="10"/>
      </right>
      <top/>
      <bottom style="thin">
        <color indexed="10"/>
      </bottom>
      <diagonal/>
    </border>
    <border>
      <left style="thin">
        <color indexed="8"/>
      </left>
      <right style="thin">
        <color indexed="8"/>
      </right>
      <top style="thin">
        <color indexed="10"/>
      </top>
      <bottom style="thin">
        <color indexed="10"/>
      </bottom>
      <diagonal/>
    </border>
    <border>
      <left style="thin">
        <color indexed="8"/>
      </left>
      <right/>
      <top style="thin">
        <color indexed="8"/>
      </top>
      <bottom style="thin">
        <color indexed="8"/>
      </bottom>
      <diagonal/>
    </border>
    <border>
      <left/>
      <right style="thin">
        <color indexed="10"/>
      </right>
      <top style="thin">
        <color indexed="10"/>
      </top>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bottom style="thin">
        <color indexed="8"/>
      </bottom>
      <diagonal/>
    </border>
    <border>
      <left/>
      <right style="thin">
        <color indexed="8"/>
      </right>
      <top style="thin">
        <color indexed="8"/>
      </top>
      <bottom style="thin">
        <color indexed="10"/>
      </bottom>
      <diagonal/>
    </border>
    <border>
      <left style="thin">
        <color indexed="8"/>
      </left>
      <right style="thin">
        <color indexed="8"/>
      </right>
      <top style="thin">
        <color indexed="8"/>
      </top>
      <bottom style="thin">
        <color indexed="10"/>
      </bottom>
      <diagonal/>
    </border>
    <border>
      <left style="thin">
        <color indexed="10"/>
      </left>
      <right/>
      <top/>
      <bottom/>
      <diagonal/>
    </border>
    <border>
      <left style="thin">
        <color indexed="10"/>
      </left>
      <right style="thin">
        <color indexed="10"/>
      </right>
      <top/>
      <bottom style="thin">
        <color indexed="8"/>
      </bottom>
      <diagonal/>
    </border>
    <border>
      <left style="thin">
        <color indexed="10"/>
      </left>
      <right style="thin">
        <color indexed="10"/>
      </right>
      <top style="thin">
        <color indexed="8"/>
      </top>
      <bottom style="thin">
        <color indexed="8"/>
      </bottom>
      <diagonal/>
    </border>
    <border>
      <left style="thin">
        <color indexed="10"/>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0"/>
      </right>
      <top style="thin">
        <color indexed="8"/>
      </top>
      <bottom/>
      <diagonal/>
    </border>
    <border>
      <left style="thin">
        <color indexed="10"/>
      </left>
      <right style="thin">
        <color indexed="8"/>
      </right>
      <top style="thin">
        <color indexed="10"/>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10"/>
      </left>
      <right/>
      <top style="thin">
        <color indexed="10"/>
      </top>
      <bottom/>
      <diagonal/>
    </border>
    <border>
      <left/>
      <right/>
      <top style="thin">
        <color indexed="10"/>
      </top>
      <bottom/>
      <diagonal/>
    </border>
    <border>
      <left style="thin">
        <color indexed="10"/>
      </left>
      <right style="thin">
        <color indexed="10"/>
      </right>
      <top/>
      <bottom/>
      <diagonal/>
    </border>
    <border>
      <left style="thin">
        <color indexed="10"/>
      </left>
      <right/>
      <top/>
      <bottom style="thin">
        <color indexed="8"/>
      </bottom>
      <diagonal/>
    </border>
    <border>
      <left/>
      <right/>
      <top/>
      <bottom style="thin">
        <color indexed="8"/>
      </bottom>
      <diagonal/>
    </border>
    <border>
      <left style="thin">
        <color indexed="8"/>
      </left>
      <right/>
      <top/>
      <bottom style="thin">
        <color indexed="10"/>
      </bottom>
      <diagonal/>
    </border>
    <border>
      <left style="thin">
        <color indexed="10"/>
      </left>
      <right style="thin">
        <color indexed="10"/>
      </right>
      <top style="thin">
        <color indexed="8"/>
      </top>
      <bottom/>
      <diagonal/>
    </border>
    <border>
      <left style="thin">
        <color indexed="10"/>
      </left>
      <right/>
      <top style="thin">
        <color indexed="10"/>
      </top>
      <bottom style="thin">
        <color indexed="8"/>
      </bottom>
      <diagonal/>
    </border>
    <border>
      <left style="thin">
        <color indexed="8"/>
      </left>
      <right style="thin">
        <color indexed="8"/>
      </right>
      <top style="thin">
        <color indexed="10"/>
      </top>
      <bottom style="thin">
        <color indexed="8"/>
      </bottom>
      <diagonal/>
    </border>
    <border>
      <left style="thin">
        <color indexed="8"/>
      </left>
      <right style="thin">
        <color indexed="8"/>
      </right>
      <top/>
      <bottom/>
      <diagonal/>
    </border>
    <border>
      <left/>
      <right style="thin">
        <color indexed="10"/>
      </right>
      <top style="thin">
        <color indexed="10"/>
      </top>
      <bottom style="thin">
        <color indexed="8"/>
      </bottom>
      <diagonal/>
    </border>
    <border>
      <left/>
      <right/>
      <top/>
      <bottom style="thin">
        <color indexed="10"/>
      </bottom>
      <diagonal/>
    </border>
    <border>
      <left/>
      <right style="thin">
        <color indexed="10"/>
      </right>
      <top/>
      <bottom style="thin">
        <color indexed="10"/>
      </bottom>
      <diagonal/>
    </border>
    <border>
      <left/>
      <right/>
      <top style="thin">
        <color indexed="8"/>
      </top>
      <bottom style="thin">
        <color indexed="8"/>
      </bottom>
      <diagonal/>
    </border>
    <border>
      <left/>
      <right/>
      <top style="thin">
        <color indexed="8"/>
      </top>
      <bottom/>
      <diagonal/>
    </border>
    <border>
      <left style="thin">
        <color indexed="10"/>
      </left>
      <right/>
      <top style="thin">
        <color indexed="8"/>
      </top>
      <bottom style="thin">
        <color indexed="10"/>
      </bottom>
      <diagonal/>
    </border>
    <border>
      <left/>
      <right style="thin">
        <color indexed="8"/>
      </right>
      <top style="thin">
        <color indexed="10"/>
      </top>
      <bottom style="thin">
        <color indexed="10"/>
      </bottom>
      <diagonal/>
    </border>
    <border>
      <left style="thin">
        <color indexed="10"/>
      </left>
      <right/>
      <top style="thin">
        <color indexed="8"/>
      </top>
      <bottom/>
      <diagonal/>
    </border>
    <border>
      <left style="thin">
        <color indexed="10"/>
      </left>
      <right style="thin">
        <color indexed="8"/>
      </right>
      <top style="thin">
        <color indexed="10"/>
      </top>
      <bottom/>
      <diagonal/>
    </border>
    <border>
      <left style="thin">
        <color indexed="10"/>
      </left>
      <right/>
      <top style="thin">
        <color indexed="10"/>
      </top>
      <bottom style="thin">
        <color indexed="10"/>
      </bottom>
      <diagonal/>
    </border>
    <border>
      <left/>
      <right style="thin">
        <color indexed="8"/>
      </right>
      <top/>
      <bottom/>
      <diagonal/>
    </border>
    <border>
      <left/>
      <right/>
      <top style="thin">
        <color indexed="10"/>
      </top>
      <bottom style="thin">
        <color indexed="10"/>
      </bottom>
      <diagonal/>
    </border>
    <border>
      <left style="thin">
        <color indexed="10"/>
      </left>
      <right style="thin">
        <color indexed="8"/>
      </right>
      <top/>
      <bottom/>
      <diagonal/>
    </border>
    <border>
      <left style="thin">
        <color indexed="10"/>
      </left>
      <right/>
      <top/>
      <bottom style="thin">
        <color indexed="10"/>
      </bottom>
      <diagonal/>
    </border>
    <border>
      <left style="thin">
        <color indexed="10"/>
      </left>
      <right style="thin">
        <color indexed="8"/>
      </right>
      <top/>
      <bottom style="thin">
        <color indexed="10"/>
      </bottom>
      <diagonal/>
    </border>
    <border>
      <left/>
      <right style="thin">
        <color indexed="10"/>
      </right>
      <top/>
      <bottom/>
      <diagonal/>
    </border>
    <border>
      <left style="thin">
        <color indexed="8"/>
      </left>
      <right/>
      <top style="thin">
        <color indexed="10"/>
      </top>
      <bottom style="thin">
        <color indexed="10"/>
      </bottom>
      <diagonal/>
    </border>
    <border>
      <left style="thin">
        <color indexed="10"/>
      </left>
      <right style="thin">
        <color indexed="8"/>
      </right>
      <top style="thin">
        <color indexed="8"/>
      </top>
      <bottom/>
      <diagonal/>
    </border>
    <border>
      <left/>
      <right/>
      <top/>
      <bottom style="medium">
        <color indexed="8"/>
      </bottom>
      <diagonal/>
    </border>
    <border>
      <left style="thin">
        <color indexed="8"/>
      </left>
      <right/>
      <top style="medium">
        <color indexed="8"/>
      </top>
      <bottom/>
      <diagonal/>
    </border>
    <border>
      <left/>
      <right/>
      <top style="medium">
        <color indexed="8"/>
      </top>
      <bottom/>
      <diagonal/>
    </border>
    <border>
      <left/>
      <right style="medium">
        <color indexed="8"/>
      </right>
      <top/>
      <bottom/>
      <diagonal/>
    </border>
    <border>
      <left style="medium">
        <color indexed="8"/>
      </left>
      <right/>
      <top style="thin">
        <color indexed="8"/>
      </top>
      <bottom style="medium">
        <color indexed="8"/>
      </bottom>
      <diagonal/>
    </border>
    <border>
      <left/>
      <right style="medium">
        <color indexed="8"/>
      </right>
      <top/>
      <bottom style="medium">
        <color indexed="8"/>
      </bottom>
      <diagonal/>
    </border>
    <border>
      <left style="medium">
        <color indexed="8"/>
      </left>
      <right/>
      <top/>
      <bottom/>
      <diagonal/>
    </border>
    <border>
      <left style="thin">
        <color indexed="8"/>
      </left>
      <right/>
      <top style="thin">
        <color indexed="10"/>
      </top>
      <bottom/>
      <diagonal/>
    </border>
    <border>
      <left/>
      <right style="thin">
        <color indexed="8"/>
      </right>
      <top style="thin">
        <color indexed="10"/>
      </top>
      <bottom/>
      <diagonal/>
    </border>
    <border>
      <left style="thin">
        <color indexed="8"/>
      </left>
      <right style="thin">
        <color indexed="8"/>
      </right>
      <top style="thin">
        <color indexed="10"/>
      </top>
      <bottom/>
      <diagonal/>
    </border>
    <border>
      <left style="thin">
        <color indexed="8"/>
      </left>
      <right/>
      <top style="thin">
        <color indexed="10"/>
      </top>
      <bottom style="thin">
        <color indexed="8"/>
      </bottom>
      <diagonal/>
    </border>
    <border>
      <left/>
      <right style="thin">
        <color indexed="8"/>
      </right>
      <top style="thin">
        <color indexed="10"/>
      </top>
      <bottom style="thin">
        <color indexed="8"/>
      </bottom>
      <diagonal/>
    </border>
  </borders>
  <cellStyleXfs count="1">
    <xf numFmtId="0" fontId="0" applyNumberFormat="0" applyFont="1" applyFill="0" applyBorder="0" applyAlignment="1" applyProtection="0">
      <alignment vertical="bottom"/>
    </xf>
  </cellStyleXfs>
  <cellXfs count="555">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0" fillId="2" borderId="1" applyNumberFormat="1" applyFont="1" applyFill="1" applyBorder="1" applyAlignment="1" applyProtection="0">
      <alignment horizontal="center" vertical="top" wrapText="1"/>
    </xf>
    <xf numFmtId="0" fontId="0" fillId="2" borderId="1" applyNumberFormat="0" applyFont="1" applyFill="1" applyBorder="1" applyAlignment="1" applyProtection="0">
      <alignment horizontal="center" vertical="top" wrapText="1"/>
    </xf>
    <xf numFmtId="0" fontId="0" fillId="2" borderId="2" applyNumberFormat="0" applyFont="1" applyFill="1" applyBorder="1" applyAlignment="1" applyProtection="0">
      <alignment horizontal="center" vertical="top" wrapText="1"/>
    </xf>
    <xf numFmtId="49" fontId="3" fillId="2" borderId="3" applyNumberFormat="1" applyFont="1" applyFill="1" applyBorder="1" applyAlignment="1" applyProtection="0">
      <alignment vertical="bottom" wrapText="1"/>
    </xf>
    <xf numFmtId="0" fontId="0" borderId="4" applyNumberFormat="0" applyFont="1" applyFill="0" applyBorder="1" applyAlignment="1" applyProtection="0">
      <alignment vertical="bottom"/>
    </xf>
    <xf numFmtId="0" fontId="0" fillId="2" borderId="4" applyNumberFormat="0" applyFont="1" applyFill="1" applyBorder="1" applyAlignment="1" applyProtection="0">
      <alignment horizontal="center" vertical="top" wrapText="1"/>
    </xf>
    <xf numFmtId="0" fontId="0" fillId="2" borderId="5" applyNumberFormat="0" applyFont="1" applyFill="1" applyBorder="1" applyAlignment="1" applyProtection="0">
      <alignment horizontal="center" vertical="top" wrapText="1"/>
    </xf>
    <xf numFmtId="49" fontId="4" fillId="2" borderId="6" applyNumberFormat="1" applyFont="1" applyFill="1" applyBorder="1" applyAlignment="1" applyProtection="0">
      <alignment vertical="bottom" wrapText="1"/>
    </xf>
    <xf numFmtId="49" fontId="5" fillId="3" borderId="7" applyNumberFormat="1" applyFont="1" applyFill="1" applyBorder="1" applyAlignment="1" applyProtection="0">
      <alignment horizontal="left" vertical="bottom" wrapText="1"/>
    </xf>
    <xf numFmtId="0" fontId="0" borderId="3" applyNumberFormat="0" applyFont="1" applyFill="0" applyBorder="1" applyAlignment="1" applyProtection="0">
      <alignment vertical="bottom"/>
    </xf>
    <xf numFmtId="49" fontId="0" fillId="4" borderId="7" applyNumberFormat="1" applyFont="1" applyFill="1" applyBorder="1" applyAlignment="1" applyProtection="0">
      <alignment horizontal="left" vertical="bottom" wrapText="1"/>
    </xf>
    <xf numFmtId="49" fontId="0" fillId="5" borderId="7" applyNumberFormat="1" applyFont="1" applyFill="1" applyBorder="1" applyAlignment="1" applyProtection="0">
      <alignment horizontal="left" vertical="center" wrapText="1"/>
    </xf>
    <xf numFmtId="49" fontId="0" fillId="6" borderId="7" applyNumberFormat="1" applyFont="1" applyFill="1" applyBorder="1" applyAlignment="1" applyProtection="0">
      <alignment horizontal="left" vertical="bottom" wrapText="1"/>
    </xf>
    <xf numFmtId="0" fontId="0" fillId="2" borderId="8" applyNumberFormat="0" applyFont="1" applyFill="1" applyBorder="1" applyAlignment="1" applyProtection="0">
      <alignment vertical="bottom" wrapText="1"/>
    </xf>
    <xf numFmtId="49" fontId="5" fillId="7" borderId="7" applyNumberFormat="1" applyFont="1" applyFill="1" applyBorder="1" applyAlignment="1" applyProtection="0">
      <alignment horizontal="left" vertical="bottom" wrapText="1"/>
    </xf>
    <xf numFmtId="49" fontId="5" fillId="8" borderId="7" applyNumberFormat="1" applyFont="1" applyFill="1" applyBorder="1" applyAlignment="1" applyProtection="0">
      <alignment horizontal="left" vertical="bottom" wrapText="1"/>
    </xf>
    <xf numFmtId="0" fontId="0" fillId="2" borderId="8" applyNumberFormat="0" applyFont="1" applyFill="1" applyBorder="1" applyAlignment="1" applyProtection="0">
      <alignment horizontal="left" vertical="bottom" wrapText="1"/>
    </xf>
    <xf numFmtId="49" fontId="0" borderId="4" applyNumberFormat="1" applyFont="1" applyFill="0" applyBorder="1" applyAlignment="1" applyProtection="0">
      <alignment vertical="bottom"/>
    </xf>
    <xf numFmtId="49" fontId="4" fillId="2" borderId="6" applyNumberFormat="1" applyFont="1" applyFill="1" applyBorder="1" applyAlignment="1" applyProtection="0">
      <alignment horizontal="left" vertical="bottom" wrapText="1"/>
    </xf>
    <xf numFmtId="49" fontId="0" fillId="9" borderId="7" applyNumberFormat="1" applyFont="1" applyFill="1" applyBorder="1" applyAlignment="1" applyProtection="0">
      <alignment horizontal="left" vertical="bottom"/>
    </xf>
    <xf numFmtId="0" fontId="0" fillId="2" borderId="8" applyNumberFormat="0" applyFont="1" applyFill="1" applyBorder="1" applyAlignment="1" applyProtection="0">
      <alignment vertical="bottom"/>
    </xf>
    <xf numFmtId="0" fontId="0" fillId="2" borderId="3" applyNumberFormat="0" applyFont="1" applyFill="1" applyBorder="1" applyAlignment="1" applyProtection="0">
      <alignment horizontal="left" vertical="bottom" wrapText="1"/>
    </xf>
    <xf numFmtId="49" fontId="4" fillId="2" borderId="9" applyNumberFormat="1" applyFont="1" applyFill="1" applyBorder="1" applyAlignment="1" applyProtection="0">
      <alignment horizontal="left" vertical="bottom" wrapText="1"/>
    </xf>
    <xf numFmtId="49" fontId="0" fillId="10" borderId="10" applyNumberFormat="1" applyFont="1" applyFill="1" applyBorder="1" applyAlignment="1" applyProtection="0">
      <alignment horizontal="left" vertical="bottom"/>
    </xf>
    <xf numFmtId="0" fontId="0" borderId="11" applyNumberFormat="0" applyFont="1" applyFill="0" applyBorder="1" applyAlignment="1" applyProtection="0">
      <alignment vertical="bottom"/>
    </xf>
    <xf numFmtId="49" fontId="4" fillId="11" borderId="10" applyNumberFormat="1" applyFont="1" applyFill="1" applyBorder="1" applyAlignment="1" applyProtection="0">
      <alignment horizontal="left" vertical="bottom" wrapText="1"/>
    </xf>
    <xf numFmtId="49" fontId="5" fillId="12" borderId="10" applyNumberFormat="1" applyFont="1" applyFill="1" applyBorder="1" applyAlignment="1" applyProtection="0">
      <alignment horizontal="left" vertical="bottom" wrapText="1"/>
    </xf>
    <xf numFmtId="0" fontId="0" fillId="2" borderId="12" applyNumberFormat="0" applyFont="1" applyFill="1" applyBorder="1" applyAlignment="1" applyProtection="0">
      <alignment vertical="bottom" wrapText="1"/>
    </xf>
    <xf numFmtId="49" fontId="0" fillId="13" borderId="7" applyNumberFormat="1" applyFont="1" applyFill="1" applyBorder="1" applyAlignment="1" applyProtection="0">
      <alignment horizontal="left" vertical="bottom" wrapText="1"/>
    </xf>
    <xf numFmtId="49" fontId="6" fillId="14" borderId="7" applyNumberFormat="1" applyFont="1" applyFill="1" applyBorder="1" applyAlignment="1" applyProtection="0">
      <alignment horizontal="left" vertical="bottom"/>
    </xf>
    <xf numFmtId="49" fontId="7" fillId="15" borderId="7" applyNumberFormat="1" applyFont="1" applyFill="1" applyBorder="1" applyAlignment="1" applyProtection="0">
      <alignment horizontal="left" vertical="bottom"/>
    </xf>
    <xf numFmtId="0" fontId="0" fillId="2" borderId="3" applyNumberFormat="0" applyFont="1" applyFill="1" applyBorder="1" applyAlignment="1" applyProtection="0">
      <alignment vertical="bottom" wrapText="1"/>
    </xf>
    <xf numFmtId="0" fontId="0" applyNumberFormat="1" applyFont="1" applyFill="0" applyBorder="0" applyAlignment="1" applyProtection="0">
      <alignment vertical="bottom"/>
    </xf>
    <xf numFmtId="49" fontId="0" fillId="2" borderId="4" applyNumberFormat="1" applyFont="1" applyFill="1" applyBorder="1" applyAlignment="1" applyProtection="0">
      <alignment horizontal="left" vertical="top" wrapText="1"/>
    </xf>
    <xf numFmtId="0" fontId="0" fillId="2" borderId="4" applyNumberFormat="0" applyFont="1" applyFill="1" applyBorder="1" applyAlignment="1" applyProtection="0">
      <alignment horizontal="left" vertical="top" wrapText="1"/>
    </xf>
    <xf numFmtId="49" fontId="3" borderId="4" applyNumberFormat="1" applyFont="1" applyFill="0" applyBorder="1" applyAlignment="1" applyProtection="0">
      <alignment vertical="bottom"/>
    </xf>
    <xf numFmtId="49" fontId="8" borderId="6" applyNumberFormat="1" applyFont="1" applyFill="0" applyBorder="1" applyAlignment="1" applyProtection="0">
      <alignment vertical="bottom"/>
    </xf>
    <xf numFmtId="0" fontId="5" borderId="13" applyNumberFormat="0" applyFont="1" applyFill="0" applyBorder="1" applyAlignment="1" applyProtection="0">
      <alignment vertical="bottom"/>
    </xf>
    <xf numFmtId="0" fontId="0" borderId="13" applyNumberFormat="0" applyFont="1" applyFill="0" applyBorder="1" applyAlignment="1" applyProtection="0">
      <alignment vertical="bottom"/>
    </xf>
    <xf numFmtId="49" fontId="0" fillId="9" borderId="7" applyNumberFormat="1" applyFont="1" applyFill="1" applyBorder="1" applyAlignment="1" applyProtection="0">
      <alignment vertical="bottom"/>
    </xf>
    <xf numFmtId="49" fontId="5" fillId="3" borderId="14" applyNumberFormat="1" applyFont="1" applyFill="1" applyBorder="1" applyAlignment="1" applyProtection="0">
      <alignment vertical="bottom"/>
    </xf>
    <xf numFmtId="0" fontId="5" fillId="3" borderId="14" applyNumberFormat="0" applyFont="1" applyFill="1" applyBorder="1" applyAlignment="1" applyProtection="0">
      <alignment vertical="bottom"/>
    </xf>
    <xf numFmtId="3" fontId="5" fillId="3" borderId="7" applyNumberFormat="1" applyFont="1" applyFill="1" applyBorder="1" applyAlignment="1" applyProtection="0">
      <alignment vertical="bottom"/>
    </xf>
    <xf numFmtId="49" fontId="4" fillId="11" borderId="15" applyNumberFormat="1" applyFont="1" applyFill="1" applyBorder="1" applyAlignment="1" applyProtection="0">
      <alignment vertical="bottom"/>
    </xf>
    <xf numFmtId="0" fontId="4" fillId="11" borderId="15" applyNumberFormat="0" applyFont="1" applyFill="1" applyBorder="1" applyAlignment="1" applyProtection="0">
      <alignment vertical="bottom"/>
    </xf>
    <xf numFmtId="0" fontId="4" fillId="11" borderId="16" applyNumberFormat="0" applyFont="1" applyFill="1" applyBorder="1" applyAlignment="1" applyProtection="0">
      <alignment vertical="bottom"/>
    </xf>
    <xf numFmtId="0" fontId="5" fillId="3" borderId="7" applyNumberFormat="1" applyFont="1" applyFill="1" applyBorder="1" applyAlignment="1" applyProtection="0">
      <alignment vertical="bottom"/>
    </xf>
    <xf numFmtId="49" fontId="0" fillId="10" borderId="10" applyNumberFormat="1" applyFont="1" applyFill="1" applyBorder="1" applyAlignment="1" applyProtection="0">
      <alignment vertical="bottom"/>
    </xf>
    <xf numFmtId="0" fontId="0" fillId="10" borderId="17" applyNumberFormat="0" applyFont="1" applyFill="1" applyBorder="1" applyAlignment="1" applyProtection="0">
      <alignment vertical="bottom"/>
    </xf>
    <xf numFmtId="49" fontId="0" fillId="9" borderId="7" applyNumberFormat="1" applyFont="1" applyFill="1" applyBorder="1" applyAlignment="1" applyProtection="0">
      <alignment vertical="bottom" wrapText="1"/>
    </xf>
    <xf numFmtId="49" fontId="5" fillId="3" borderId="7" applyNumberFormat="1" applyFont="1" applyFill="1" applyBorder="1" applyAlignment="1" applyProtection="0">
      <alignment vertical="bottom" wrapText="1"/>
    </xf>
    <xf numFmtId="0" fontId="0" fillId="2" borderId="12" applyNumberFormat="0" applyFont="1" applyFill="1" applyBorder="1" applyAlignment="1" applyProtection="0">
      <alignment vertical="bottom"/>
    </xf>
    <xf numFmtId="0" fontId="0" fillId="2" borderId="18" applyNumberFormat="0" applyFont="1" applyFill="1" applyBorder="1" applyAlignment="1" applyProtection="0">
      <alignment vertical="bottom"/>
    </xf>
    <xf numFmtId="49" fontId="5" fillId="3" borderId="7" applyNumberFormat="1" applyFont="1" applyFill="1" applyBorder="1" applyAlignment="1" applyProtection="0">
      <alignment vertical="bottom"/>
    </xf>
    <xf numFmtId="49" fontId="4" borderId="19" applyNumberFormat="1" applyFont="1" applyFill="0" applyBorder="1" applyAlignment="1" applyProtection="0">
      <alignment vertical="bottom"/>
    </xf>
    <xf numFmtId="0" fontId="4" borderId="19" applyNumberFormat="0" applyFont="1" applyFill="0" applyBorder="1" applyAlignment="1" applyProtection="0">
      <alignment vertical="bottom"/>
    </xf>
    <xf numFmtId="0" fontId="4" borderId="3" applyNumberFormat="0" applyFont="1" applyFill="0" applyBorder="1" applyAlignment="1" applyProtection="0">
      <alignment vertical="bottom"/>
    </xf>
    <xf numFmtId="49" fontId="5" fillId="3" borderId="20" applyNumberFormat="1" applyFont="1" applyFill="1" applyBorder="1" applyAlignment="1" applyProtection="0">
      <alignment vertical="bottom"/>
    </xf>
    <xf numFmtId="1" fontId="0" borderId="21" applyNumberFormat="1" applyFont="1" applyFill="0" applyBorder="1" applyAlignment="1" applyProtection="0">
      <alignment vertical="bottom"/>
    </xf>
    <xf numFmtId="49" fontId="5" fillId="3" borderId="7" applyNumberFormat="1" applyFont="1" applyFill="1" applyBorder="1" applyAlignment="1" applyProtection="0">
      <alignment horizontal="left" vertical="bottom"/>
    </xf>
    <xf numFmtId="49" fontId="0" fillId="10" borderId="17" applyNumberFormat="1" applyFont="1" applyFill="1" applyBorder="1" applyAlignment="1" applyProtection="0">
      <alignment vertical="bottom"/>
    </xf>
    <xf numFmtId="0" fontId="0" borderId="12" applyNumberFormat="0" applyFont="1" applyFill="0" applyBorder="1" applyAlignment="1" applyProtection="0">
      <alignment vertical="bottom"/>
    </xf>
    <xf numFmtId="0" fontId="0" borderId="18" applyNumberFormat="0" applyFont="1" applyFill="0" applyBorder="1" applyAlignment="1" applyProtection="0">
      <alignment vertical="bottom"/>
    </xf>
    <xf numFmtId="49" fontId="8" borderId="15" applyNumberFormat="1" applyFont="1" applyFill="0" applyBorder="1" applyAlignment="1" applyProtection="0">
      <alignment vertical="bottom"/>
    </xf>
    <xf numFmtId="0" fontId="0" borderId="22" applyNumberFormat="0" applyFont="1" applyFill="0" applyBorder="1" applyAlignment="1" applyProtection="0">
      <alignment vertical="bottom"/>
    </xf>
    <xf numFmtId="0" fontId="0" borderId="23" applyNumberFormat="0" applyFont="1" applyFill="0" applyBorder="1" applyAlignment="1" applyProtection="0">
      <alignment vertical="bottom"/>
    </xf>
    <xf numFmtId="49" fontId="4" fillId="9" borderId="24" applyNumberFormat="1" applyFont="1" applyFill="1" applyBorder="1" applyAlignment="1" applyProtection="0">
      <alignment vertical="bottom"/>
    </xf>
    <xf numFmtId="49" fontId="4" fillId="9" borderId="7" applyNumberFormat="1" applyFont="1" applyFill="1" applyBorder="1" applyAlignment="1" applyProtection="0">
      <alignment vertical="bottom"/>
    </xf>
    <xf numFmtId="49" fontId="4" fillId="6" borderId="7" applyNumberFormat="1" applyFont="1" applyFill="1" applyBorder="1" applyAlignment="1" applyProtection="0">
      <alignment vertical="bottom"/>
    </xf>
    <xf numFmtId="49" fontId="4" fillId="9" borderId="7" applyNumberFormat="1" applyFont="1" applyFill="1" applyBorder="1" applyAlignment="1" applyProtection="0">
      <alignment vertical="bottom" wrapText="1"/>
    </xf>
    <xf numFmtId="49" fontId="4" fillId="6" borderId="7" applyNumberFormat="1" applyFont="1" applyFill="1" applyBorder="1" applyAlignment="1" applyProtection="0">
      <alignment vertical="bottom" wrapText="1"/>
    </xf>
    <xf numFmtId="9" fontId="5" fillId="3" borderId="7" applyNumberFormat="1" applyFont="1" applyFill="1" applyBorder="1" applyAlignment="1" applyProtection="0">
      <alignment vertical="bottom"/>
    </xf>
    <xf numFmtId="9" fontId="0" fillId="6" borderId="7" applyNumberFormat="1" applyFont="1" applyFill="1" applyBorder="1" applyAlignment="1" applyProtection="0">
      <alignment vertical="bottom"/>
    </xf>
    <xf numFmtId="3" fontId="0" fillId="13" borderId="7" applyNumberFormat="1" applyFont="1" applyFill="1" applyBorder="1" applyAlignment="1" applyProtection="0">
      <alignment vertical="bottom"/>
    </xf>
    <xf numFmtId="2" fontId="0" fillId="6" borderId="7" applyNumberFormat="1" applyFont="1" applyFill="1" applyBorder="1" applyAlignment="1" applyProtection="0">
      <alignment vertical="bottom"/>
    </xf>
    <xf numFmtId="3" fontId="0" fillId="13" borderId="20" applyNumberFormat="1" applyFont="1" applyFill="1" applyBorder="1" applyAlignment="1" applyProtection="0">
      <alignment vertical="bottom"/>
    </xf>
    <xf numFmtId="0" fontId="0" borderId="25" applyNumberFormat="0" applyFont="1" applyFill="0" applyBorder="1" applyAlignment="1" applyProtection="0">
      <alignment vertical="bottom"/>
    </xf>
    <xf numFmtId="0" fontId="0" borderId="26" applyNumberFormat="0" applyFont="1" applyFill="0" applyBorder="1" applyAlignment="1" applyProtection="0">
      <alignment vertical="bottom"/>
    </xf>
    <xf numFmtId="0" fontId="0" fillId="6" borderId="7" applyNumberFormat="1" applyFont="1" applyFill="1" applyBorder="1" applyAlignment="1" applyProtection="0">
      <alignment vertical="bottom"/>
    </xf>
    <xf numFmtId="0" fontId="0" borderId="1" applyNumberFormat="0" applyFont="1" applyFill="0" applyBorder="1" applyAlignment="1" applyProtection="0">
      <alignment vertical="bottom"/>
    </xf>
    <xf numFmtId="9" fontId="4" borderId="26" applyNumberFormat="1" applyFont="1" applyFill="0" applyBorder="1" applyAlignment="1" applyProtection="0">
      <alignment vertical="bottom"/>
    </xf>
    <xf numFmtId="9" fontId="4" fillId="13" borderId="7" applyNumberFormat="1" applyFont="1" applyFill="1" applyBorder="1" applyAlignment="1" applyProtection="0">
      <alignment vertical="bottom"/>
    </xf>
    <xf numFmtId="3" fontId="4" fillId="13" borderId="7" applyNumberFormat="1" applyFont="1" applyFill="1" applyBorder="1" applyAlignment="1" applyProtection="0">
      <alignment vertical="bottom"/>
    </xf>
    <xf numFmtId="0" fontId="10" borderId="1" applyNumberFormat="0" applyFont="1" applyFill="0" applyBorder="1" applyAlignment="1" applyProtection="0">
      <alignment vertical="bottom"/>
    </xf>
    <xf numFmtId="49" fontId="3" borderId="13" applyNumberFormat="1" applyFont="1" applyFill="0" applyBorder="1" applyAlignment="1" applyProtection="0">
      <alignment vertical="bottom"/>
    </xf>
    <xf numFmtId="49" fontId="7" fillId="10" borderId="27" applyNumberFormat="1" applyFont="1" applyFill="1" applyBorder="1" applyAlignment="1" applyProtection="0">
      <alignment vertical="bottom"/>
    </xf>
    <xf numFmtId="49" fontId="10" borderId="28" applyNumberFormat="1" applyFont="1" applyFill="0" applyBorder="1" applyAlignment="1" applyProtection="0">
      <alignment vertical="bottom"/>
    </xf>
    <xf numFmtId="49" fontId="0" borderId="23" applyNumberFormat="1" applyFont="1" applyFill="0" applyBorder="1" applyAlignment="1" applyProtection="0">
      <alignment vertical="bottom"/>
    </xf>
    <xf numFmtId="49" fontId="10" fillId="2" borderId="7" applyNumberFormat="1" applyFont="1" applyFill="1" applyBorder="1" applyAlignment="1" applyProtection="0">
      <alignment vertical="bottom" wrapText="1"/>
    </xf>
    <xf numFmtId="49" fontId="11" fillId="9" borderId="7" applyNumberFormat="1" applyFont="1" applyFill="1" applyBorder="1" applyAlignment="1" applyProtection="0">
      <alignment vertical="bottom" wrapText="1"/>
    </xf>
    <xf numFmtId="49" fontId="12" fillId="9" borderId="7" applyNumberFormat="1" applyFont="1" applyFill="1" applyBorder="1" applyAlignment="1" applyProtection="0">
      <alignment vertical="bottom" wrapText="1"/>
    </xf>
    <xf numFmtId="49" fontId="11" fillId="6" borderId="7" applyNumberFormat="1" applyFont="1" applyFill="1" applyBorder="1" applyAlignment="1" applyProtection="0">
      <alignment vertical="bottom" wrapText="1"/>
    </xf>
    <xf numFmtId="49" fontId="0" fillId="6" borderId="7" applyNumberFormat="1" applyFont="1" applyFill="1" applyBorder="1" applyAlignment="1" applyProtection="0">
      <alignment vertical="bottom" wrapText="1"/>
    </xf>
    <xf numFmtId="49" fontId="12" fillId="6" borderId="7" applyNumberFormat="1" applyFont="1" applyFill="1" applyBorder="1" applyAlignment="1" applyProtection="0">
      <alignment vertical="bottom" wrapText="1"/>
    </xf>
    <xf numFmtId="59" fontId="13" fillId="4" borderId="7" applyNumberFormat="1" applyFont="1" applyFill="1" applyBorder="1" applyAlignment="1" applyProtection="0">
      <alignment horizontal="right" vertical="center"/>
    </xf>
    <xf numFmtId="59" fontId="13" fillId="5" borderId="7" applyNumberFormat="1" applyFont="1" applyFill="1" applyBorder="1" applyAlignment="1" applyProtection="0">
      <alignment horizontal="right" vertical="center"/>
    </xf>
    <xf numFmtId="59" fontId="14" fillId="5" borderId="7" applyNumberFormat="1" applyFont="1" applyFill="1" applyBorder="1" applyAlignment="1" applyProtection="0">
      <alignment horizontal="right" vertical="center"/>
    </xf>
    <xf numFmtId="59" fontId="15" fillId="6" borderId="7" applyNumberFormat="1" applyFont="1" applyFill="1" applyBorder="1" applyAlignment="1" applyProtection="0">
      <alignment horizontal="right" vertical="center"/>
    </xf>
    <xf numFmtId="59" fontId="13" fillId="6" borderId="7" applyNumberFormat="1" applyFont="1" applyFill="1" applyBorder="1" applyAlignment="1" applyProtection="0">
      <alignment horizontal="right" vertical="center"/>
    </xf>
    <xf numFmtId="59" fontId="14" fillId="6" borderId="7" applyNumberFormat="1" applyFont="1" applyFill="1" applyBorder="1" applyAlignment="1" applyProtection="0">
      <alignment horizontal="right" vertical="center"/>
    </xf>
    <xf numFmtId="49" fontId="4" fillId="9" borderId="7" applyNumberFormat="1" applyFont="1" applyFill="1" applyBorder="1" applyAlignment="1" applyProtection="0">
      <alignment horizontal="right" vertical="bottom"/>
    </xf>
    <xf numFmtId="59" fontId="15" fillId="13" borderId="7" applyNumberFormat="1" applyFont="1" applyFill="1" applyBorder="1" applyAlignment="1" applyProtection="0">
      <alignment horizontal="right" vertical="center"/>
    </xf>
    <xf numFmtId="59" fontId="16" fillId="6" borderId="7" applyNumberFormat="1" applyFont="1" applyFill="1" applyBorder="1" applyAlignment="1" applyProtection="0">
      <alignment horizontal="right" vertical="center"/>
    </xf>
    <xf numFmtId="0" fontId="0" borderId="29" applyNumberFormat="0" applyFont="1" applyFill="0" applyBorder="1" applyAlignment="1" applyProtection="0">
      <alignment vertical="bottom"/>
    </xf>
    <xf numFmtId="0" fontId="0" borderId="30" applyNumberFormat="0" applyFont="1" applyFill="0" applyBorder="1" applyAlignment="1" applyProtection="0">
      <alignment vertical="bottom"/>
    </xf>
    <xf numFmtId="49" fontId="0" fillId="9" borderId="31" applyNumberFormat="1" applyFont="1" applyFill="1" applyBorder="1" applyAlignment="1" applyProtection="0">
      <alignment vertical="bottom"/>
    </xf>
    <xf numFmtId="60" fontId="0" fillId="4" borderId="7" applyNumberFormat="1" applyFont="1" applyFill="1" applyBorder="1" applyAlignment="1" applyProtection="0">
      <alignment vertical="bottom"/>
    </xf>
    <xf numFmtId="0" fontId="0" borderId="8" applyNumberFormat="0" applyFont="1" applyFill="0" applyBorder="1" applyAlignment="1" applyProtection="0">
      <alignment vertical="bottom"/>
    </xf>
    <xf numFmtId="0" fontId="0" borderId="2" applyNumberFormat="0" applyFont="1" applyFill="0" applyBorder="1" applyAlignment="1" applyProtection="0">
      <alignment vertical="bottom"/>
    </xf>
    <xf numFmtId="49" fontId="12" fillId="16" borderId="7" applyNumberFormat="1" applyFont="1" applyFill="1" applyBorder="1" applyAlignment="1" applyProtection="0">
      <alignment vertical="bottom"/>
    </xf>
    <xf numFmtId="49" fontId="10" borderId="7" applyNumberFormat="1" applyFont="1" applyFill="0" applyBorder="1" applyAlignment="1" applyProtection="0">
      <alignment vertical="bottom"/>
    </xf>
    <xf numFmtId="0" fontId="0" borderId="32" applyNumberFormat="0" applyFont="1" applyFill="0" applyBorder="1" applyAlignment="1" applyProtection="0">
      <alignment vertical="bottom"/>
    </xf>
    <xf numFmtId="49" fontId="7" fillId="9" borderId="7" applyNumberFormat="1" applyFont="1" applyFill="1" applyBorder="1" applyAlignment="1" applyProtection="0">
      <alignment horizontal="left" vertical="center"/>
    </xf>
    <xf numFmtId="61" fontId="15" fillId="4" borderId="7" applyNumberFormat="1" applyFont="1" applyFill="1" applyBorder="1" applyAlignment="1" applyProtection="0">
      <alignment horizontal="right" vertical="center"/>
    </xf>
    <xf numFmtId="61" fontId="15" fillId="6" borderId="7" applyNumberFormat="1" applyFont="1" applyFill="1" applyBorder="1" applyAlignment="1" applyProtection="0">
      <alignment horizontal="right" vertical="center"/>
    </xf>
    <xf numFmtId="0" fontId="0" fillId="10" borderId="17" applyNumberFormat="0" applyFont="1" applyFill="1" applyBorder="1" applyAlignment="1" applyProtection="0">
      <alignment horizontal="left" vertical="bottom"/>
    </xf>
    <xf numFmtId="49" fontId="4" fillId="9" borderId="7" applyNumberFormat="1" applyFont="1" applyFill="1" applyBorder="1" applyAlignment="1" applyProtection="0">
      <alignment horizontal="left" vertical="center"/>
    </xf>
    <xf numFmtId="49" fontId="0" fillId="6" borderId="20" applyNumberFormat="1" applyFont="1" applyFill="1" applyBorder="1" applyAlignment="1" applyProtection="0">
      <alignment vertical="bottom" wrapText="1"/>
    </xf>
    <xf numFmtId="49" fontId="0" fillId="10" borderId="17" applyNumberFormat="1" applyFont="1" applyFill="1" applyBorder="1" applyAlignment="1" applyProtection="0">
      <alignment horizontal="left" vertical="bottom" wrapText="1"/>
    </xf>
    <xf numFmtId="0" fontId="0" fillId="10" borderId="17" applyNumberFormat="0" applyFont="1" applyFill="1" applyBorder="1" applyAlignment="1" applyProtection="0">
      <alignment horizontal="left" vertical="bottom" wrapText="1"/>
    </xf>
    <xf numFmtId="61" fontId="13" fillId="4" borderId="7" applyNumberFormat="1" applyFont="1" applyFill="1" applyBorder="1" applyAlignment="1" applyProtection="0">
      <alignment horizontal="right" vertical="center"/>
    </xf>
    <xf numFmtId="60" fontId="13" fillId="6" borderId="7" applyNumberFormat="1" applyFont="1" applyFill="1" applyBorder="1" applyAlignment="1" applyProtection="0">
      <alignment horizontal="right" vertical="center"/>
    </xf>
    <xf numFmtId="1" fontId="0" borderId="12" applyNumberFormat="1" applyFont="1" applyFill="0" applyBorder="1" applyAlignment="1" applyProtection="0">
      <alignment vertical="bottom"/>
    </xf>
    <xf numFmtId="1" fontId="0" borderId="3" applyNumberFormat="1" applyFont="1" applyFill="0" applyBorder="1" applyAlignment="1" applyProtection="0">
      <alignment vertical="bottom"/>
    </xf>
    <xf numFmtId="1" fontId="0" borderId="9" applyNumberFormat="1" applyFont="1" applyFill="0" applyBorder="1" applyAlignment="1" applyProtection="0">
      <alignment vertical="bottom"/>
    </xf>
    <xf numFmtId="49" fontId="0" fillId="9" borderId="7" applyNumberFormat="1" applyFont="1" applyFill="1" applyBorder="1" applyAlignment="1" applyProtection="0">
      <alignment horizontal="left" vertical="center"/>
    </xf>
    <xf numFmtId="49" fontId="0" fillId="10" borderId="10" applyNumberFormat="1" applyFont="1" applyFill="1" applyBorder="1" applyAlignment="1" applyProtection="0">
      <alignment horizontal="left" vertical="bottom" wrapText="1"/>
    </xf>
    <xf numFmtId="1" fontId="0" fillId="10" borderId="17" applyNumberFormat="1" applyFont="1" applyFill="1" applyBorder="1" applyAlignment="1" applyProtection="0">
      <alignment horizontal="left" vertical="bottom" wrapText="1"/>
    </xf>
    <xf numFmtId="49" fontId="4" fillId="17" borderId="7" applyNumberFormat="1" applyFont="1" applyFill="1" applyBorder="1" applyAlignment="1" applyProtection="0">
      <alignment vertical="bottom"/>
    </xf>
    <xf numFmtId="0" fontId="4" fillId="17" borderId="7" applyNumberFormat="0" applyFont="1" applyFill="1" applyBorder="1" applyAlignment="1" applyProtection="0">
      <alignment vertical="bottom"/>
    </xf>
    <xf numFmtId="49" fontId="10" borderId="33" applyNumberFormat="1" applyFont="1" applyFill="0" applyBorder="1" applyAlignment="1" applyProtection="0">
      <alignment vertical="bottom"/>
    </xf>
    <xf numFmtId="49" fontId="11" fillId="9" borderId="7" applyNumberFormat="1" applyFont="1" applyFill="1" applyBorder="1" applyAlignment="1" applyProtection="0">
      <alignment horizontal="right" vertical="bottom"/>
    </xf>
    <xf numFmtId="62" fontId="0" fillId="4" borderId="7" applyNumberFormat="1" applyFont="1" applyFill="1" applyBorder="1" applyAlignment="1" applyProtection="0">
      <alignment vertical="bottom"/>
    </xf>
    <xf numFmtId="62" fontId="0" fillId="6" borderId="7" applyNumberFormat="1" applyFont="1" applyFill="1" applyBorder="1" applyAlignment="1" applyProtection="0">
      <alignment vertical="bottom"/>
    </xf>
    <xf numFmtId="0" fontId="0" fillId="4" borderId="7" applyNumberFormat="1" applyFont="1" applyFill="1" applyBorder="1" applyAlignment="1" applyProtection="0">
      <alignment vertical="bottom"/>
    </xf>
    <xf numFmtId="1" fontId="0" fillId="6" borderId="7" applyNumberFormat="1" applyFont="1" applyFill="1" applyBorder="1" applyAlignment="1" applyProtection="0">
      <alignment vertical="bottom"/>
    </xf>
    <xf numFmtId="49" fontId="10" borderId="23" applyNumberFormat="1" applyFont="1" applyFill="0" applyBorder="1" applyAlignment="1" applyProtection="0">
      <alignment vertical="bottom"/>
    </xf>
    <xf numFmtId="49" fontId="0" fillId="9" borderId="7" applyNumberFormat="1" applyFont="1" applyFill="1" applyBorder="1" applyAlignment="1" applyProtection="0">
      <alignment horizontal="right" vertical="bottom"/>
    </xf>
    <xf numFmtId="49" fontId="0" fillId="4" borderId="7" applyNumberFormat="1" applyFont="1" applyFill="1" applyBorder="1" applyAlignment="1" applyProtection="0">
      <alignment vertical="bottom"/>
    </xf>
    <xf numFmtId="49" fontId="0" fillId="6" borderId="7" applyNumberFormat="1" applyFont="1" applyFill="1" applyBorder="1" applyAlignment="1" applyProtection="0">
      <alignment vertical="bottom"/>
    </xf>
    <xf numFmtId="49" fontId="0" fillId="9" borderId="16" applyNumberFormat="1" applyFont="1" applyFill="1" applyBorder="1" applyAlignment="1" applyProtection="0">
      <alignment horizontal="right" vertical="bottom"/>
    </xf>
    <xf numFmtId="0" fontId="0" fillId="9" borderId="34" applyNumberFormat="0" applyFont="1" applyFill="1" applyBorder="1" applyAlignment="1" applyProtection="0">
      <alignment horizontal="right" vertical="bottom"/>
    </xf>
    <xf numFmtId="63" fontId="0" fillId="13" borderId="7" applyNumberFormat="1" applyFont="1" applyFill="1" applyBorder="1" applyAlignment="1" applyProtection="0">
      <alignment vertical="bottom"/>
    </xf>
    <xf numFmtId="0" fontId="11" borderId="3" applyNumberFormat="0" applyFont="1" applyFill="0" applyBorder="1" applyAlignment="1" applyProtection="0">
      <alignment vertical="bottom"/>
    </xf>
    <xf numFmtId="49" fontId="0" fillId="9" borderId="35" applyNumberFormat="1" applyFont="1" applyFill="1" applyBorder="1" applyAlignment="1" applyProtection="0">
      <alignment horizontal="right" vertical="bottom"/>
    </xf>
    <xf numFmtId="0" fontId="0" fillId="9" borderId="36" applyNumberFormat="0" applyFont="1" applyFill="1" applyBorder="1" applyAlignment="1" applyProtection="0">
      <alignment horizontal="right" vertical="bottom"/>
    </xf>
    <xf numFmtId="0" fontId="11" borderId="9" applyNumberFormat="0" applyFont="1" applyFill="0" applyBorder="1" applyAlignment="1" applyProtection="0">
      <alignment vertical="bottom"/>
    </xf>
    <xf numFmtId="64" fontId="0" fillId="4" borderId="7" applyNumberFormat="1" applyFont="1" applyFill="1" applyBorder="1" applyAlignment="1" applyProtection="0">
      <alignment vertical="bottom"/>
    </xf>
    <xf numFmtId="65" fontId="0" fillId="6" borderId="7" applyNumberFormat="1" applyFont="1" applyFill="1" applyBorder="1" applyAlignment="1" applyProtection="0">
      <alignment vertical="bottom"/>
    </xf>
    <xf numFmtId="49" fontId="0" fillId="18" borderId="10" applyNumberFormat="1" applyFont="1" applyFill="1" applyBorder="1" applyAlignment="1" applyProtection="0">
      <alignment horizontal="left" vertical="bottom"/>
    </xf>
    <xf numFmtId="0" fontId="0" fillId="18" borderId="17" applyNumberFormat="0" applyFont="1" applyFill="1" applyBorder="1" applyAlignment="1" applyProtection="0">
      <alignment horizontal="left" vertical="bottom"/>
    </xf>
    <xf numFmtId="49" fontId="0" fillId="4" borderId="7" applyNumberFormat="1" applyFont="1" applyFill="1" applyBorder="1" applyAlignment="1" applyProtection="0">
      <alignment vertical="bottom" wrapText="1"/>
    </xf>
    <xf numFmtId="0" fontId="0" applyNumberFormat="1" applyFont="1" applyFill="0" applyBorder="0" applyAlignment="1" applyProtection="0">
      <alignment vertical="bottom"/>
    </xf>
    <xf numFmtId="49" fontId="0" fillId="10" borderId="37" applyNumberFormat="1" applyFont="1" applyFill="1" applyBorder="1" applyAlignment="1" applyProtection="0">
      <alignment horizontal="left" vertical="top" wrapText="1"/>
    </xf>
    <xf numFmtId="0" fontId="0" fillId="10" borderId="38" applyNumberFormat="0" applyFont="1" applyFill="1" applyBorder="1" applyAlignment="1" applyProtection="0">
      <alignment horizontal="left" vertical="top" wrapText="1"/>
    </xf>
    <xf numFmtId="66" fontId="0" borderId="11" applyNumberFormat="1" applyFont="1" applyFill="0" applyBorder="1" applyAlignment="1" applyProtection="0">
      <alignment vertical="bottom"/>
    </xf>
    <xf numFmtId="49" fontId="3" fillId="13" borderId="27" applyNumberFormat="1" applyFont="1" applyFill="1" applyBorder="1" applyAlignment="1" applyProtection="0">
      <alignment horizontal="left" vertical="top" wrapText="1"/>
    </xf>
    <xf numFmtId="0" fontId="3" fillId="13" borderId="17" applyNumberFormat="0" applyFont="1" applyFill="1" applyBorder="1" applyAlignment="1" applyProtection="0">
      <alignment horizontal="left" vertical="top" wrapText="1"/>
    </xf>
    <xf numFmtId="49" fontId="3" borderId="39" applyNumberFormat="1" applyFont="1" applyFill="0" applyBorder="1" applyAlignment="1" applyProtection="0">
      <alignment vertical="bottom"/>
    </xf>
    <xf numFmtId="0" fontId="0" borderId="39" applyNumberFormat="0" applyFont="1" applyFill="0" applyBorder="1" applyAlignment="1" applyProtection="0">
      <alignment vertical="bottom"/>
    </xf>
    <xf numFmtId="49" fontId="8" borderId="27" applyNumberFormat="1" applyFont="1" applyFill="0" applyBorder="1" applyAlignment="1" applyProtection="0">
      <alignment vertical="bottom"/>
    </xf>
    <xf numFmtId="49" fontId="0" fillId="9" borderId="17" applyNumberFormat="1" applyFont="1" applyFill="1" applyBorder="1" applyAlignment="1" applyProtection="0">
      <alignment vertical="bottom"/>
    </xf>
    <xf numFmtId="0" fontId="8" borderId="4" applyNumberFormat="0" applyFont="1" applyFill="0" applyBorder="1" applyAlignment="1" applyProtection="0">
      <alignment vertical="bottom"/>
    </xf>
    <xf numFmtId="49" fontId="4" fillId="9" borderId="27" applyNumberFormat="1" applyFont="1" applyFill="1" applyBorder="1" applyAlignment="1" applyProtection="0">
      <alignment vertical="bottom" wrapText="1"/>
    </xf>
    <xf numFmtId="67" fontId="17" fillId="14" borderId="17" applyNumberFormat="1" applyFont="1" applyFill="1" applyBorder="1" applyAlignment="1" applyProtection="0">
      <alignment vertical="bottom" wrapText="1"/>
    </xf>
    <xf numFmtId="49" fontId="4" fillId="11" borderId="17" applyNumberFormat="1" applyFont="1" applyFill="1" applyBorder="1" applyAlignment="1" applyProtection="0">
      <alignment vertical="bottom" wrapText="1"/>
    </xf>
    <xf numFmtId="49" fontId="12" fillId="9" borderId="17" applyNumberFormat="1" applyFont="1" applyFill="1" applyBorder="1" applyAlignment="1" applyProtection="0">
      <alignment vertical="bottom" wrapText="1"/>
    </xf>
    <xf numFmtId="0" fontId="18" fillId="7" borderId="17" applyNumberFormat="1" applyFont="1" applyFill="1" applyBorder="1" applyAlignment="1" applyProtection="0">
      <alignment vertical="bottom" wrapText="1"/>
    </xf>
    <xf numFmtId="49" fontId="0" borderId="11" applyNumberFormat="1" applyFont="1" applyFill="0" applyBorder="1" applyAlignment="1" applyProtection="0">
      <alignment vertical="bottom"/>
    </xf>
    <xf numFmtId="0" fontId="12" borderId="4" applyNumberFormat="0" applyFont="1" applyFill="0" applyBorder="1" applyAlignment="1" applyProtection="0">
      <alignment vertical="bottom"/>
    </xf>
    <xf numFmtId="68" fontId="5" borderId="4" applyNumberFormat="1" applyFont="1" applyFill="0" applyBorder="1" applyAlignment="1" applyProtection="0">
      <alignment vertical="bottom"/>
    </xf>
    <xf numFmtId="49" fontId="4" fillId="9" borderId="27" applyNumberFormat="1" applyFont="1" applyFill="1" applyBorder="1" applyAlignment="1" applyProtection="0">
      <alignment horizontal="left" vertical="bottom"/>
    </xf>
    <xf numFmtId="66" fontId="17" fillId="14" borderId="17" applyNumberFormat="1" applyFont="1" applyFill="1" applyBorder="1" applyAlignment="1" applyProtection="0">
      <alignment vertical="bottom"/>
    </xf>
    <xf numFmtId="0" fontId="4" borderId="17" applyNumberFormat="0" applyFont="1" applyFill="0" applyBorder="1" applyAlignment="1" applyProtection="0">
      <alignment vertical="bottom"/>
    </xf>
    <xf numFmtId="49" fontId="12" fillId="9" borderId="17" applyNumberFormat="1" applyFont="1" applyFill="1" applyBorder="1" applyAlignment="1" applyProtection="0">
      <alignment vertical="bottom"/>
    </xf>
    <xf numFmtId="0" fontId="18" fillId="7" borderId="17" applyNumberFormat="1" applyFont="1" applyFill="1" applyBorder="1" applyAlignment="1" applyProtection="0">
      <alignment vertical="bottom"/>
    </xf>
    <xf numFmtId="49" fontId="4" fillId="9" borderId="40" applyNumberFormat="1" applyFont="1" applyFill="1" applyBorder="1" applyAlignment="1" applyProtection="0">
      <alignment horizontal="left" vertical="bottom"/>
    </xf>
    <xf numFmtId="1" fontId="17" fillId="14" borderId="41" applyNumberFormat="1" applyFont="1" applyFill="1" applyBorder="1" applyAlignment="1" applyProtection="0">
      <alignment vertical="bottom"/>
    </xf>
    <xf numFmtId="49" fontId="4" fillId="11" borderId="17" applyNumberFormat="1" applyFont="1" applyFill="1" applyBorder="1" applyAlignment="1" applyProtection="0">
      <alignment vertical="bottom"/>
    </xf>
    <xf numFmtId="49" fontId="4" fillId="9" borderId="20" applyNumberFormat="1" applyFont="1" applyFill="1" applyBorder="1" applyAlignment="1" applyProtection="0">
      <alignment horizontal="left" vertical="bottom"/>
    </xf>
    <xf numFmtId="1" fontId="17" fillId="14" borderId="31" applyNumberFormat="1" applyFont="1" applyFill="1" applyBorder="1" applyAlignment="1" applyProtection="0">
      <alignment vertical="bottom"/>
    </xf>
    <xf numFmtId="0" fontId="0" borderId="42" applyNumberFormat="0" applyFont="1" applyFill="0" applyBorder="1" applyAlignment="1" applyProtection="0">
      <alignment vertical="bottom"/>
    </xf>
    <xf numFmtId="49" fontId="0" borderId="1" applyNumberFormat="1" applyFont="1" applyFill="0" applyBorder="1" applyAlignment="1" applyProtection="0">
      <alignment vertical="bottom"/>
    </xf>
    <xf numFmtId="0" fontId="0" borderId="43" applyNumberFormat="0" applyFont="1" applyFill="0" applyBorder="1" applyAlignment="1" applyProtection="0">
      <alignment vertical="bottom"/>
    </xf>
    <xf numFmtId="0" fontId="0" borderId="37" applyNumberFormat="0" applyFont="1" applyFill="0" applyBorder="1" applyAlignment="1" applyProtection="0">
      <alignment vertical="bottom"/>
    </xf>
    <xf numFmtId="0" fontId="18" fillId="8" borderId="17" applyNumberFormat="1" applyFont="1" applyFill="1" applyBorder="1" applyAlignment="1" applyProtection="0">
      <alignment vertical="bottom"/>
    </xf>
    <xf numFmtId="49" fontId="0" borderId="21" applyNumberFormat="1" applyFont="1" applyFill="0" applyBorder="1" applyAlignment="1" applyProtection="0">
      <alignment vertical="bottom"/>
    </xf>
    <xf numFmtId="49" fontId="3" borderId="44" applyNumberFormat="1" applyFont="1" applyFill="0" applyBorder="1" applyAlignment="1" applyProtection="0">
      <alignment vertical="bottom"/>
    </xf>
    <xf numFmtId="49" fontId="0" fillId="10" borderId="41" applyNumberFormat="1" applyFont="1" applyFill="1" applyBorder="1" applyAlignment="1" applyProtection="0">
      <alignment vertical="bottom"/>
    </xf>
    <xf numFmtId="0" fontId="0" fillId="10" borderId="41" applyNumberFormat="0" applyFont="1" applyFill="1" applyBorder="1" applyAlignment="1" applyProtection="0">
      <alignment vertical="bottom"/>
    </xf>
    <xf numFmtId="49" fontId="0" fillId="2" borderId="7" applyNumberFormat="1" applyFont="1" applyFill="1" applyBorder="1" applyAlignment="1" applyProtection="0">
      <alignment vertical="bottom" wrapText="1"/>
    </xf>
    <xf numFmtId="49" fontId="0" fillId="10" borderId="10" applyNumberFormat="1" applyFont="1" applyFill="1" applyBorder="1" applyAlignment="1" applyProtection="0">
      <alignment vertical="center"/>
    </xf>
    <xf numFmtId="61" fontId="0" fillId="10" borderId="17" applyNumberFormat="1" applyFont="1" applyFill="1" applyBorder="1" applyAlignment="1" applyProtection="0">
      <alignment vertical="bottom"/>
    </xf>
    <xf numFmtId="60" fontId="15" fillId="2" borderId="7" applyNumberFormat="1" applyFont="1" applyFill="1" applyBorder="1" applyAlignment="1" applyProtection="0">
      <alignment horizontal="right" vertical="center"/>
    </xf>
    <xf numFmtId="60" fontId="13" fillId="2" borderId="7" applyNumberFormat="1" applyFont="1" applyFill="1" applyBorder="1" applyAlignment="1" applyProtection="0">
      <alignment horizontal="right" vertical="center"/>
    </xf>
    <xf numFmtId="49" fontId="19" fillId="9" borderId="7" applyNumberFormat="1" applyFont="1" applyFill="1" applyBorder="1" applyAlignment="1" applyProtection="0">
      <alignment horizontal="left" vertical="bottom"/>
    </xf>
    <xf numFmtId="60" fontId="14" fillId="2" borderId="7" applyNumberFormat="1" applyFont="1" applyFill="1" applyBorder="1" applyAlignment="1" applyProtection="0">
      <alignment horizontal="right" vertical="center"/>
    </xf>
    <xf numFmtId="49" fontId="4" fillId="9" borderId="7" applyNumberFormat="1" applyFont="1" applyFill="1" applyBorder="1" applyAlignment="1" applyProtection="0">
      <alignment horizontal="left" vertical="bottom"/>
    </xf>
    <xf numFmtId="60" fontId="15" borderId="7" applyNumberFormat="1" applyFont="1" applyFill="0" applyBorder="1" applyAlignment="1" applyProtection="0">
      <alignment vertical="bottom"/>
    </xf>
    <xf numFmtId="49" fontId="12" fillId="9" borderId="7" applyNumberFormat="1" applyFont="1" applyFill="1" applyBorder="1" applyAlignment="1" applyProtection="0">
      <alignment horizontal="left" vertical="bottom"/>
    </xf>
    <xf numFmtId="49" fontId="12" fillId="9" borderId="30" applyNumberFormat="1" applyFont="1" applyFill="1" applyBorder="1" applyAlignment="1" applyProtection="0">
      <alignment horizontal="left" vertical="bottom"/>
    </xf>
    <xf numFmtId="60" fontId="14" borderId="31" applyNumberFormat="1" applyFont="1" applyFill="0" applyBorder="1" applyAlignment="1" applyProtection="0">
      <alignment vertical="bottom"/>
    </xf>
    <xf numFmtId="60" fontId="13" borderId="7" applyNumberFormat="1" applyFont="1" applyFill="0" applyBorder="1" applyAlignment="1" applyProtection="0">
      <alignment vertical="bottom"/>
    </xf>
    <xf numFmtId="61" fontId="0" fillId="10" borderId="17" applyNumberFormat="1" applyFont="1" applyFill="1" applyBorder="1" applyAlignment="1" applyProtection="0">
      <alignment horizontal="left" vertical="bottom"/>
    </xf>
    <xf numFmtId="49" fontId="0" fillId="9" borderId="15" applyNumberFormat="1" applyFont="1" applyFill="1" applyBorder="1" applyAlignment="1" applyProtection="0">
      <alignment horizontal="left" vertical="bottom"/>
    </xf>
    <xf numFmtId="60" fontId="13" borderId="26" applyNumberFormat="1" applyFont="1" applyFill="0" applyBorder="1" applyAlignment="1" applyProtection="0">
      <alignment vertical="bottom"/>
    </xf>
    <xf numFmtId="61" fontId="0" borderId="11" applyNumberFormat="1" applyFont="1" applyFill="0" applyBorder="1" applyAlignment="1" applyProtection="0">
      <alignment vertical="bottom"/>
    </xf>
    <xf numFmtId="61" fontId="0" borderId="4" applyNumberFormat="1" applyFont="1" applyFill="0" applyBorder="1" applyAlignment="1" applyProtection="0">
      <alignment vertical="bottom"/>
    </xf>
    <xf numFmtId="49" fontId="4" fillId="9" borderId="14" applyNumberFormat="1" applyFont="1" applyFill="1" applyBorder="1" applyAlignment="1" applyProtection="0">
      <alignment horizontal="left" vertical="bottom"/>
    </xf>
    <xf numFmtId="60" fontId="15" borderId="45" applyNumberFormat="1" applyFont="1" applyFill="0" applyBorder="1" applyAlignment="1" applyProtection="0">
      <alignment vertical="bottom"/>
    </xf>
    <xf numFmtId="49" fontId="0" fillId="10" borderId="35" applyNumberFormat="1" applyFont="1" applyFill="1" applyBorder="1" applyAlignment="1" applyProtection="0">
      <alignment horizontal="left" vertical="bottom"/>
    </xf>
    <xf numFmtId="49" fontId="0" borderId="7" applyNumberFormat="1" applyFont="1" applyFill="0" applyBorder="1" applyAlignment="1" applyProtection="0">
      <alignment vertical="bottom"/>
    </xf>
    <xf numFmtId="49" fontId="0" fillId="10" borderId="14" applyNumberFormat="1" applyFont="1" applyFill="1" applyBorder="1" applyAlignment="1" applyProtection="0">
      <alignment horizontal="left" vertical="top" wrapText="1"/>
    </xf>
    <xf numFmtId="0" fontId="0" fillId="10" borderId="14" applyNumberFormat="0" applyFont="1" applyFill="1" applyBorder="1" applyAlignment="1" applyProtection="0">
      <alignment horizontal="left" vertical="top" wrapText="1"/>
    </xf>
    <xf numFmtId="9" fontId="6" fillId="14" borderId="7" applyNumberFormat="1" applyFont="1" applyFill="1" applyBorder="1" applyAlignment="1" applyProtection="0">
      <alignment vertical="bottom"/>
    </xf>
    <xf numFmtId="49" fontId="6" fillId="14" borderId="7" applyNumberFormat="1" applyFont="1" applyFill="1" applyBorder="1" applyAlignment="1" applyProtection="0">
      <alignment vertical="bottom"/>
    </xf>
    <xf numFmtId="0" fontId="0" fillId="10" borderId="7" applyNumberFormat="0" applyFont="1" applyFill="1" applyBorder="1" applyAlignment="1" applyProtection="0">
      <alignment horizontal="left" vertical="top" wrapText="1"/>
    </xf>
    <xf numFmtId="60" fontId="6" fillId="14" borderId="7" applyNumberFormat="1" applyFont="1" applyFill="1" applyBorder="1" applyAlignment="1" applyProtection="0">
      <alignment vertical="bottom"/>
    </xf>
    <xf numFmtId="0" fontId="0" borderId="7" applyNumberFormat="0" applyFont="1" applyFill="0" applyBorder="1" applyAlignment="1" applyProtection="0">
      <alignment vertical="bottom"/>
    </xf>
    <xf numFmtId="68" fontId="6" fillId="14" borderId="7" applyNumberFormat="1" applyFont="1" applyFill="1" applyBorder="1" applyAlignment="1" applyProtection="0">
      <alignment vertical="bottom"/>
    </xf>
    <xf numFmtId="9" fontId="0" borderId="7" applyNumberFormat="1" applyFont="1" applyFill="0" applyBorder="1" applyAlignment="1" applyProtection="0">
      <alignment vertical="bottom"/>
    </xf>
    <xf numFmtId="0" fontId="0" fillId="10" borderId="15" applyNumberFormat="0" applyFont="1" applyFill="1" applyBorder="1" applyAlignment="1" applyProtection="0">
      <alignment horizontal="left" vertical="top" wrapText="1"/>
    </xf>
    <xf numFmtId="69" fontId="6" fillId="14" borderId="7" applyNumberFormat="1" applyFont="1" applyFill="1" applyBorder="1" applyAlignment="1" applyProtection="0">
      <alignment vertical="bottom"/>
    </xf>
    <xf numFmtId="0" fontId="0" fillId="10" borderId="10" applyNumberFormat="0" applyFont="1" applyFill="1" applyBorder="1" applyAlignment="1" applyProtection="0">
      <alignment horizontal="left" vertical="top" wrapText="1"/>
    </xf>
    <xf numFmtId="0" fontId="0" fillId="10" borderId="17" applyNumberFormat="0" applyFont="1" applyFill="1" applyBorder="1" applyAlignment="1" applyProtection="0">
      <alignment horizontal="left" vertical="top" wrapText="1"/>
    </xf>
    <xf numFmtId="9" fontId="6" borderId="7" applyNumberFormat="1" applyFont="1" applyFill="0" applyBorder="1" applyAlignment="1" applyProtection="0">
      <alignment vertical="bottom"/>
    </xf>
    <xf numFmtId="49" fontId="0" fillId="10" borderId="10" applyNumberFormat="1" applyFont="1" applyFill="1" applyBorder="1" applyAlignment="1" applyProtection="0">
      <alignment horizontal="left" vertical="top" wrapText="1"/>
    </xf>
    <xf numFmtId="49" fontId="20" fillId="10" borderId="7" applyNumberFormat="1" applyFont="1" applyFill="1" applyBorder="1" applyAlignment="1" applyProtection="0">
      <alignment vertical="bottom"/>
    </xf>
    <xf numFmtId="0" fontId="20" fillId="10" borderId="7" applyNumberFormat="0" applyFont="1" applyFill="1" applyBorder="1" applyAlignment="1" applyProtection="0">
      <alignment vertical="bottom"/>
    </xf>
    <xf numFmtId="49" fontId="0" fillId="10" borderId="15" applyNumberFormat="1" applyFont="1" applyFill="1" applyBorder="1" applyAlignment="1" applyProtection="0">
      <alignment vertical="bottom"/>
    </xf>
    <xf numFmtId="0" fontId="0" fillId="10" borderId="15" applyNumberFormat="0" applyFont="1" applyFill="1" applyBorder="1" applyAlignment="1" applyProtection="0">
      <alignment vertical="bottom"/>
    </xf>
    <xf numFmtId="0" fontId="0" fillId="10" borderId="46" applyNumberFormat="0" applyFont="1" applyFill="1" applyBorder="1" applyAlignment="1" applyProtection="0">
      <alignment vertical="bottom"/>
    </xf>
    <xf numFmtId="0" fontId="0" fillId="10" borderId="10" applyNumberFormat="0" applyFont="1" applyFill="1" applyBorder="1" applyAlignment="1" applyProtection="0">
      <alignment vertical="bottom"/>
    </xf>
    <xf numFmtId="49" fontId="0" fillId="10" borderId="40" applyNumberFormat="1" applyFont="1" applyFill="1" applyBorder="1" applyAlignment="1" applyProtection="0">
      <alignment vertical="bottom"/>
    </xf>
    <xf numFmtId="0" fontId="0" borderId="47" applyNumberFormat="0" applyFont="1" applyFill="0" applyBorder="1" applyAlignment="1" applyProtection="0">
      <alignment vertical="bottom"/>
    </xf>
    <xf numFmtId="1" fontId="4" borderId="7" applyNumberFormat="1" applyFont="1" applyFill="0" applyBorder="1" applyAlignment="1" applyProtection="0">
      <alignment vertical="bottom"/>
    </xf>
    <xf numFmtId="49" fontId="4" fillId="11" borderId="7" applyNumberFormat="1" applyFont="1" applyFill="1" applyBorder="1" applyAlignment="1" applyProtection="0">
      <alignment vertical="bottom"/>
    </xf>
    <xf numFmtId="0" fontId="0" fillId="2" borderId="3" applyNumberFormat="0" applyFont="1" applyFill="1" applyBorder="1" applyAlignment="1" applyProtection="0">
      <alignment vertical="top"/>
    </xf>
    <xf numFmtId="0" fontId="0" fillId="2" borderId="4" applyNumberFormat="0" applyFont="1" applyFill="1" applyBorder="1" applyAlignment="1" applyProtection="0">
      <alignment vertical="top"/>
    </xf>
    <xf numFmtId="0" fontId="4" borderId="1" applyNumberFormat="0" applyFont="1" applyFill="0" applyBorder="1" applyAlignment="1" applyProtection="0">
      <alignment vertical="bottom"/>
    </xf>
    <xf numFmtId="1" fontId="4" borderId="1" applyNumberFormat="1" applyFont="1" applyFill="0" applyBorder="1" applyAlignment="1" applyProtection="0">
      <alignment vertical="bottom"/>
    </xf>
    <xf numFmtId="1" fontId="0" borderId="4" applyNumberFormat="1" applyFont="1" applyFill="0" applyBorder="1" applyAlignment="1" applyProtection="0">
      <alignment vertical="bottom"/>
    </xf>
    <xf numFmtId="49" fontId="0" fillId="10" borderId="27" applyNumberFormat="1" applyFont="1" applyFill="1" applyBorder="1" applyAlignment="1" applyProtection="0">
      <alignment vertical="bottom"/>
    </xf>
    <xf numFmtId="1" fontId="0" borderId="11" applyNumberFormat="1" applyFont="1" applyFill="0" applyBorder="1" applyAlignment="1" applyProtection="0">
      <alignment vertical="bottom"/>
    </xf>
    <xf numFmtId="49" fontId="0" borderId="28" applyNumberFormat="1" applyFont="1" applyFill="0" applyBorder="1" applyAlignment="1" applyProtection="0">
      <alignment vertical="bottom"/>
    </xf>
    <xf numFmtId="69" fontId="0" borderId="3" applyNumberFormat="1" applyFont="1" applyFill="0" applyBorder="1" applyAlignment="1" applyProtection="0">
      <alignment vertical="bottom"/>
    </xf>
    <xf numFmtId="0" fontId="0" borderId="9" applyNumberFormat="0" applyFont="1" applyFill="0" applyBorder="1" applyAlignment="1" applyProtection="0">
      <alignment vertical="bottom"/>
    </xf>
    <xf numFmtId="70" fontId="4" fillId="2" borderId="7" applyNumberFormat="1" applyFont="1" applyFill="1" applyBorder="1" applyAlignment="1" applyProtection="0">
      <alignment horizontal="right" vertical="center" wrapText="1"/>
    </xf>
    <xf numFmtId="49" fontId="0" fillId="10" borderId="16" applyNumberFormat="1" applyFont="1" applyFill="1" applyBorder="1" applyAlignment="1" applyProtection="0">
      <alignment horizontal="left" vertical="center"/>
    </xf>
    <xf numFmtId="0" fontId="0" fillId="10" borderId="17" applyNumberFormat="0" applyFont="1" applyFill="1" applyBorder="1" applyAlignment="1" applyProtection="0">
      <alignment vertical="bottom" wrapText="1"/>
    </xf>
    <xf numFmtId="49" fontId="12" fillId="9" borderId="7" applyNumberFormat="1" applyFont="1" applyFill="1" applyBorder="1" applyAlignment="1" applyProtection="0">
      <alignment vertical="bottom"/>
    </xf>
    <xf numFmtId="63" fontId="12" borderId="7" applyNumberFormat="1" applyFont="1" applyFill="0" applyBorder="1" applyAlignment="1" applyProtection="0">
      <alignment vertical="bottom"/>
    </xf>
    <xf numFmtId="63" fontId="4" borderId="7" applyNumberFormat="1" applyFont="1" applyFill="0" applyBorder="1" applyAlignment="1" applyProtection="0">
      <alignment vertical="bottom"/>
    </xf>
    <xf numFmtId="49" fontId="0" fillId="10" borderId="42" applyNumberFormat="1" applyFont="1" applyFill="1" applyBorder="1" applyAlignment="1" applyProtection="0">
      <alignment vertical="bottom"/>
    </xf>
    <xf numFmtId="0" fontId="0" fillId="10" borderId="48" applyNumberFormat="0" applyFont="1" applyFill="1" applyBorder="1" applyAlignment="1" applyProtection="0">
      <alignment vertical="bottom"/>
    </xf>
    <xf numFmtId="0" fontId="0" applyNumberFormat="1" applyFont="1" applyFill="0" applyBorder="0" applyAlignment="1" applyProtection="0">
      <alignment vertical="bottom"/>
    </xf>
    <xf numFmtId="49" fontId="0" fillId="10" borderId="37" applyNumberFormat="1" applyFont="1" applyFill="1" applyBorder="1" applyAlignment="1" applyProtection="0">
      <alignment vertical="top"/>
    </xf>
    <xf numFmtId="0" fontId="0" fillId="10" borderId="38" applyNumberFormat="0" applyFont="1" applyFill="1" applyBorder="1" applyAlignment="1" applyProtection="0">
      <alignment vertical="top"/>
    </xf>
    <xf numFmtId="71" fontId="0" fillId="10" borderId="38" applyNumberFormat="1" applyFont="1" applyFill="1" applyBorder="1" applyAlignment="1" applyProtection="0">
      <alignment vertical="top"/>
    </xf>
    <xf numFmtId="49" fontId="21" fillId="13" borderId="27" applyNumberFormat="1" applyFont="1" applyFill="1" applyBorder="1" applyAlignment="1" applyProtection="0">
      <alignment vertical="top"/>
    </xf>
    <xf numFmtId="0" fontId="21" fillId="13" borderId="17" applyNumberFormat="0" applyFont="1" applyFill="1" applyBorder="1" applyAlignment="1" applyProtection="0">
      <alignment vertical="top"/>
    </xf>
    <xf numFmtId="0" fontId="21" fillId="2" borderId="49" applyNumberFormat="0" applyFont="1" applyFill="1" applyBorder="1" applyAlignment="1" applyProtection="0">
      <alignment vertical="top"/>
    </xf>
    <xf numFmtId="0" fontId="21" fillId="2" borderId="18" applyNumberFormat="0" applyFont="1" applyFill="1" applyBorder="1" applyAlignment="1" applyProtection="0">
      <alignment vertical="top"/>
    </xf>
    <xf numFmtId="49" fontId="3" borderId="28" applyNumberFormat="1" applyFont="1" applyFill="0" applyBorder="1" applyAlignment="1" applyProtection="0">
      <alignment vertical="bottom"/>
    </xf>
    <xf numFmtId="0" fontId="0" borderId="28" applyNumberFormat="0" applyFont="1" applyFill="0" applyBorder="1" applyAlignment="1" applyProtection="0">
      <alignment vertical="bottom"/>
    </xf>
    <xf numFmtId="49" fontId="4" borderId="7" applyNumberFormat="1" applyFont="1" applyFill="0" applyBorder="1" applyAlignment="1" applyProtection="0">
      <alignment vertical="bottom"/>
    </xf>
    <xf numFmtId="0" fontId="0" borderId="19" applyNumberFormat="0" applyFont="1" applyFill="0" applyBorder="1" applyAlignment="1" applyProtection="0">
      <alignment vertical="bottom"/>
    </xf>
    <xf numFmtId="0" fontId="5" fillId="7" borderId="7" applyNumberFormat="1" applyFont="1" applyFill="1" applyBorder="1" applyAlignment="1" applyProtection="0">
      <alignment vertical="bottom"/>
    </xf>
    <xf numFmtId="49" fontId="0" fillId="9" borderId="20" applyNumberFormat="1" applyFont="1" applyFill="1" applyBorder="1" applyAlignment="1" applyProtection="0">
      <alignment vertical="bottom"/>
    </xf>
    <xf numFmtId="0" fontId="0" fillId="9" borderId="50" applyNumberFormat="0" applyFont="1" applyFill="1" applyBorder="1" applyAlignment="1" applyProtection="0">
      <alignment vertical="bottom"/>
    </xf>
    <xf numFmtId="0" fontId="0" fillId="9" borderId="31" applyNumberFormat="0" applyFont="1" applyFill="1" applyBorder="1" applyAlignment="1" applyProtection="0">
      <alignment vertical="bottom"/>
    </xf>
    <xf numFmtId="59" fontId="5" fillId="7" borderId="7" applyNumberFormat="1" applyFont="1" applyFill="1" applyBorder="1" applyAlignment="1" applyProtection="0">
      <alignment horizontal="right" vertical="center"/>
    </xf>
    <xf numFmtId="63" fontId="5" fillId="7" borderId="20" applyNumberFormat="1" applyFont="1" applyFill="1" applyBorder="1" applyAlignment="1" applyProtection="0">
      <alignment vertical="bottom"/>
    </xf>
    <xf numFmtId="49" fontId="4" borderId="29" applyNumberFormat="1" applyFont="1" applyFill="0" applyBorder="1" applyAlignment="1" applyProtection="0">
      <alignment horizontal="left" vertical="bottom"/>
    </xf>
    <xf numFmtId="0" fontId="0" borderId="5" applyNumberFormat="0" applyFont="1" applyFill="0" applyBorder="1" applyAlignment="1" applyProtection="0">
      <alignment vertical="bottom"/>
    </xf>
    <xf numFmtId="9" fontId="5" fillId="7" borderId="7" applyNumberFormat="1" applyFont="1" applyFill="1" applyBorder="1" applyAlignment="1" applyProtection="0">
      <alignment vertical="bottom"/>
    </xf>
    <xf numFmtId="63" fontId="5" fillId="7" borderId="20" applyNumberFormat="1" applyFont="1" applyFill="1" applyBorder="1" applyAlignment="1" applyProtection="0">
      <alignment vertical="center"/>
    </xf>
    <xf numFmtId="49" fontId="0" fillId="9" borderId="16" applyNumberFormat="1" applyFont="1" applyFill="1" applyBorder="1" applyAlignment="1" applyProtection="0">
      <alignment vertical="bottom"/>
    </xf>
    <xf numFmtId="0" fontId="0" fillId="9" borderId="51" applyNumberFormat="0" applyFont="1" applyFill="1" applyBorder="1" applyAlignment="1" applyProtection="0">
      <alignment vertical="bottom"/>
    </xf>
    <xf numFmtId="0" fontId="0" fillId="9" borderId="34" applyNumberFormat="0" applyFont="1" applyFill="1" applyBorder="1" applyAlignment="1" applyProtection="0">
      <alignment vertical="bottom"/>
    </xf>
    <xf numFmtId="63" fontId="5" fillId="8" borderId="7" applyNumberFormat="1" applyFont="1" applyFill="1" applyBorder="1" applyAlignment="1" applyProtection="0">
      <alignment vertical="bottom"/>
    </xf>
    <xf numFmtId="0" fontId="12" borderId="7" applyNumberFormat="1" applyFont="1" applyFill="0" applyBorder="1" applyAlignment="1" applyProtection="0">
      <alignment vertical="bottom"/>
    </xf>
    <xf numFmtId="66" fontId="5" fillId="7" borderId="16" applyNumberFormat="1" applyFont="1" applyFill="1" applyBorder="1" applyAlignment="1" applyProtection="0">
      <alignment vertical="bottom"/>
    </xf>
    <xf numFmtId="66" fontId="5" fillId="7" borderId="51" applyNumberFormat="1" applyFont="1" applyFill="1" applyBorder="1" applyAlignment="1" applyProtection="0">
      <alignment vertical="bottom"/>
    </xf>
    <xf numFmtId="49" fontId="0" fillId="9" borderId="35" applyNumberFormat="1" applyFont="1" applyFill="1" applyBorder="1" applyAlignment="1" applyProtection="0">
      <alignment vertical="bottom"/>
    </xf>
    <xf numFmtId="0" fontId="0" fillId="9" borderId="41" applyNumberFormat="0" applyFont="1" applyFill="1" applyBorder="1" applyAlignment="1" applyProtection="0">
      <alignment vertical="bottom"/>
    </xf>
    <xf numFmtId="0" fontId="0" fillId="9" borderId="36" applyNumberFormat="0" applyFont="1" applyFill="1" applyBorder="1" applyAlignment="1" applyProtection="0">
      <alignment vertical="bottom"/>
    </xf>
    <xf numFmtId="66" fontId="5" fillId="7" borderId="10" applyNumberFormat="1" applyFont="1" applyFill="1" applyBorder="1" applyAlignment="1" applyProtection="0">
      <alignment vertical="bottom"/>
    </xf>
    <xf numFmtId="66" fontId="5" fillId="8" borderId="17" applyNumberFormat="1" applyFont="1" applyFill="1" applyBorder="1" applyAlignment="1" applyProtection="0">
      <alignment vertical="bottom"/>
    </xf>
    <xf numFmtId="66" fontId="5" fillId="7" borderId="17" applyNumberFormat="1" applyFont="1" applyFill="1" applyBorder="1" applyAlignment="1" applyProtection="0">
      <alignment vertical="bottom"/>
    </xf>
    <xf numFmtId="10" fontId="5" fillId="7" borderId="7" applyNumberFormat="1" applyFont="1" applyFill="1" applyBorder="1" applyAlignment="1" applyProtection="0">
      <alignment vertical="bottom"/>
    </xf>
    <xf numFmtId="49" fontId="0" fillId="10" borderId="10" applyNumberFormat="1" applyFont="1" applyFill="1" applyBorder="1" applyAlignment="1" applyProtection="0">
      <alignment vertical="bottom" wrapText="1"/>
    </xf>
    <xf numFmtId="0" fontId="0" borderId="52" applyNumberFormat="0" applyFont="1" applyFill="0" applyBorder="1" applyAlignment="1" applyProtection="0">
      <alignment vertical="bottom"/>
    </xf>
    <xf numFmtId="49" fontId="4" fillId="9" borderId="50" applyNumberFormat="1" applyFont="1" applyFill="1" applyBorder="1" applyAlignment="1" applyProtection="0">
      <alignment vertical="bottom"/>
    </xf>
    <xf numFmtId="0" fontId="0" fillId="9" borderId="17" applyNumberFormat="0" applyFont="1" applyFill="1" applyBorder="1" applyAlignment="1" applyProtection="0">
      <alignment vertical="bottom"/>
    </xf>
    <xf numFmtId="0" fontId="0" borderId="53" applyNumberFormat="0" applyFont="1" applyFill="0" applyBorder="1" applyAlignment="1" applyProtection="0">
      <alignment vertical="bottom"/>
    </xf>
    <xf numFmtId="49" fontId="0" fillId="9" borderId="54" applyNumberFormat="1" applyFont="1" applyFill="1" applyBorder="1" applyAlignment="1" applyProtection="0">
      <alignment vertical="bottom"/>
    </xf>
    <xf numFmtId="10" fontId="5" fillId="7" borderId="51" applyNumberFormat="1" applyFont="1" applyFill="1" applyBorder="1" applyAlignment="1" applyProtection="0">
      <alignment vertical="bottom"/>
    </xf>
    <xf numFmtId="49" fontId="0" fillId="10" borderId="17" applyNumberFormat="1" applyFont="1" applyFill="1" applyBorder="1" applyAlignment="1" applyProtection="0">
      <alignment vertical="bottom" wrapText="1"/>
    </xf>
    <xf numFmtId="0" fontId="0" borderId="55" applyNumberFormat="0" applyFont="1" applyFill="0" applyBorder="1" applyAlignment="1" applyProtection="0">
      <alignment vertical="bottom"/>
    </xf>
    <xf numFmtId="49" fontId="0" fillId="9" borderId="7" applyNumberFormat="1" applyFont="1" applyFill="1" applyBorder="1" applyAlignment="1" applyProtection="0">
      <alignment horizontal="right" vertical="bottom" wrapText="1"/>
    </xf>
    <xf numFmtId="60" fontId="5" fillId="7" borderId="10" applyNumberFormat="1" applyFont="1" applyFill="1" applyBorder="1" applyAlignment="1" applyProtection="0">
      <alignment horizontal="center" vertical="center"/>
    </xf>
    <xf numFmtId="49" fontId="0" fillId="9" borderId="27" applyNumberFormat="1" applyFont="1" applyFill="1" applyBorder="1" applyAlignment="1" applyProtection="0">
      <alignment vertical="bottom"/>
    </xf>
    <xf numFmtId="9" fontId="5" fillId="7" borderId="17" applyNumberFormat="1" applyFont="1" applyFill="1" applyBorder="1" applyAlignment="1" applyProtection="0">
      <alignment vertical="bottom"/>
    </xf>
    <xf numFmtId="0" fontId="0" borderId="49" applyNumberFormat="0" applyFont="1" applyFill="0" applyBorder="1" applyAlignment="1" applyProtection="0">
      <alignment vertical="bottom"/>
    </xf>
    <xf numFmtId="0" fontId="0" borderId="56" applyNumberFormat="0" applyFont="1" applyFill="0" applyBorder="1" applyAlignment="1" applyProtection="0">
      <alignment vertical="bottom"/>
    </xf>
    <xf numFmtId="49" fontId="0" fillId="9" borderId="17" applyNumberFormat="1" applyFont="1" applyFill="1" applyBorder="1" applyAlignment="1" applyProtection="0">
      <alignment vertical="bottom" wrapText="1"/>
    </xf>
    <xf numFmtId="0" fontId="0" fillId="9" borderId="17" applyNumberFormat="0" applyFont="1" applyFill="1" applyBorder="1" applyAlignment="1" applyProtection="0">
      <alignment vertical="bottom" wrapText="1"/>
    </xf>
    <xf numFmtId="9" fontId="5" fillId="7" borderId="57" applyNumberFormat="1" applyFont="1" applyFill="1" applyBorder="1" applyAlignment="1" applyProtection="0">
      <alignment horizontal="center" vertical="center"/>
    </xf>
    <xf numFmtId="0" fontId="0" borderId="58" applyNumberFormat="0" applyFont="1" applyFill="0" applyBorder="1" applyAlignment="1" applyProtection="0">
      <alignment vertical="bottom"/>
    </xf>
    <xf numFmtId="66" fontId="18" fillId="7" borderId="17" applyNumberFormat="1" applyFont="1" applyFill="1" applyBorder="1" applyAlignment="1" applyProtection="0">
      <alignment vertical="bottom"/>
    </xf>
    <xf numFmtId="0" fontId="0" borderId="59" applyNumberFormat="0" applyFont="1" applyFill="0" applyBorder="1" applyAlignment="1" applyProtection="0">
      <alignment vertical="bottom"/>
    </xf>
    <xf numFmtId="0" fontId="0" fillId="2" borderId="60" applyNumberFormat="1" applyFont="1" applyFill="1" applyBorder="1" applyAlignment="1" applyProtection="0">
      <alignment vertical="bottom" wrapText="1"/>
    </xf>
    <xf numFmtId="0" fontId="5" fillId="8" borderId="17" applyNumberFormat="1" applyFont="1" applyFill="1" applyBorder="1" applyAlignment="1" applyProtection="0">
      <alignment vertical="bottom" wrapText="1"/>
    </xf>
    <xf numFmtId="0" fontId="0" borderId="61" applyNumberFormat="0" applyFont="1" applyFill="0" applyBorder="1" applyAlignment="1" applyProtection="0">
      <alignment vertical="bottom"/>
    </xf>
    <xf numFmtId="49" fontId="0" fillId="9" borderId="15" applyNumberFormat="1" applyFont="1" applyFill="1" applyBorder="1" applyAlignment="1" applyProtection="0">
      <alignment horizontal="right" vertical="bottom" wrapText="1"/>
    </xf>
    <xf numFmtId="60" fontId="5" fillId="8" borderId="10" applyNumberFormat="1" applyFont="1" applyFill="1" applyBorder="1" applyAlignment="1" applyProtection="0">
      <alignment horizontal="center" vertical="center"/>
    </xf>
    <xf numFmtId="0" fontId="0" borderId="62" applyNumberFormat="0" applyFont="1" applyFill="0" applyBorder="1" applyAlignment="1" applyProtection="0">
      <alignment vertical="bottom"/>
    </xf>
    <xf numFmtId="49" fontId="4" fillId="9" borderId="17" applyNumberFormat="1" applyFont="1" applyFill="1" applyBorder="1" applyAlignment="1" applyProtection="0">
      <alignment vertical="bottom" wrapText="1"/>
    </xf>
    <xf numFmtId="0" fontId="5" fillId="8" borderId="7" applyNumberFormat="1" applyFont="1" applyFill="1" applyBorder="1" applyAlignment="1" applyProtection="0">
      <alignment vertical="bottom" wrapText="1"/>
    </xf>
    <xf numFmtId="0" fontId="5" fillId="8" borderId="7" applyNumberFormat="1" applyFont="1" applyFill="1" applyBorder="1" applyAlignment="1" applyProtection="0">
      <alignment vertical="bottom"/>
    </xf>
    <xf numFmtId="49" fontId="5" fillId="7" borderId="7" applyNumberFormat="1" applyFont="1" applyFill="1" applyBorder="1" applyAlignment="1" applyProtection="0">
      <alignment vertical="bottom"/>
    </xf>
    <xf numFmtId="0" fontId="5" borderId="4" applyNumberFormat="0" applyFont="1" applyFill="0" applyBorder="1" applyAlignment="1" applyProtection="0">
      <alignment vertical="bottom"/>
    </xf>
    <xf numFmtId="49" fontId="5" fillId="7" borderId="17" applyNumberFormat="1" applyFont="1" applyFill="1" applyBorder="1" applyAlignment="1" applyProtection="0">
      <alignment horizontal="center" vertical="bottom"/>
    </xf>
    <xf numFmtId="0" fontId="5" fillId="7" borderId="17" applyNumberFormat="1" applyFont="1" applyFill="1" applyBorder="1" applyAlignment="1" applyProtection="0">
      <alignment horizontal="center" vertical="bottom"/>
    </xf>
    <xf numFmtId="0" fontId="5" fillId="7" borderId="17" applyNumberFormat="1" applyFont="1" applyFill="1" applyBorder="1" applyAlignment="1" applyProtection="0">
      <alignment vertical="bottom"/>
    </xf>
    <xf numFmtId="0" fontId="22" fillId="7" borderId="7" applyNumberFormat="1" applyFont="1" applyFill="1" applyBorder="1" applyAlignment="1" applyProtection="0">
      <alignment vertical="bottom"/>
    </xf>
    <xf numFmtId="0" fontId="22" borderId="4" applyNumberFormat="0" applyFont="1" applyFill="0" applyBorder="1" applyAlignment="1" applyProtection="0">
      <alignment vertical="bottom"/>
    </xf>
    <xf numFmtId="0" fontId="22" fillId="8" borderId="7" applyNumberFormat="1" applyFont="1" applyFill="1" applyBorder="1" applyAlignment="1" applyProtection="0">
      <alignment vertical="bottom"/>
    </xf>
    <xf numFmtId="0" fontId="0" fillId="10" borderId="62" applyNumberFormat="0" applyFont="1" applyFill="1" applyBorder="1" applyAlignment="1" applyProtection="0">
      <alignment vertical="bottom"/>
    </xf>
    <xf numFmtId="0" fontId="0" borderId="63" applyNumberFormat="0" applyFont="1" applyFill="0" applyBorder="1" applyAlignment="1" applyProtection="0">
      <alignment vertical="bottom"/>
    </xf>
    <xf numFmtId="49" fontId="0" fillId="13" borderId="7" applyNumberFormat="1" applyFont="1" applyFill="1" applyBorder="1" applyAlignment="1" applyProtection="0">
      <alignment vertical="bottom"/>
    </xf>
    <xf numFmtId="1" fontId="5" fillId="8" borderId="7" applyNumberFormat="1" applyFont="1" applyFill="1" applyBorder="1" applyAlignment="1" applyProtection="0">
      <alignment vertical="bottom"/>
    </xf>
    <xf numFmtId="49" fontId="0" fillId="19" borderId="34" applyNumberFormat="1" applyFont="1" applyFill="1" applyBorder="1" applyAlignment="1" applyProtection="0">
      <alignment vertical="bottom"/>
    </xf>
    <xf numFmtId="0" fontId="0" fillId="13" borderId="7" applyNumberFormat="1" applyFont="1" applyFill="1" applyBorder="1" applyAlignment="1" applyProtection="0">
      <alignment vertical="bottom"/>
    </xf>
    <xf numFmtId="0" fontId="0" borderId="39" applyNumberFormat="0" applyFont="1" applyFill="0" applyBorder="1" applyAlignment="1" applyProtection="0">
      <alignment horizontal="center" vertical="bottom"/>
    </xf>
    <xf numFmtId="0" fontId="0" fillId="9" borderId="64" applyNumberFormat="0" applyFont="1" applyFill="1" applyBorder="1" applyAlignment="1" applyProtection="0">
      <alignment vertical="bottom"/>
    </xf>
    <xf numFmtId="49" fontId="5" fillId="8" borderId="17" applyNumberFormat="1" applyFont="1" applyFill="1" applyBorder="1" applyAlignment="1" applyProtection="0">
      <alignment horizontal="center" vertical="bottom"/>
    </xf>
    <xf numFmtId="0" fontId="5" fillId="8" borderId="17" applyNumberFormat="1" applyFont="1" applyFill="1" applyBorder="1" applyAlignment="1" applyProtection="0">
      <alignment horizontal="center" vertical="bottom"/>
    </xf>
    <xf numFmtId="0" fontId="5" fillId="8" borderId="17" applyNumberFormat="1" applyFont="1" applyFill="1" applyBorder="1" applyAlignment="1" applyProtection="0">
      <alignment vertical="bottom"/>
    </xf>
    <xf numFmtId="0" fontId="22" fillId="8" borderId="15" applyNumberFormat="1" applyFont="1" applyFill="1" applyBorder="1" applyAlignment="1" applyProtection="0">
      <alignment vertical="bottom"/>
    </xf>
    <xf numFmtId="0" fontId="22" borderId="23" applyNumberFormat="0" applyFont="1" applyFill="0" applyBorder="1" applyAlignment="1" applyProtection="0">
      <alignment vertical="bottom"/>
    </xf>
    <xf numFmtId="1" fontId="22" fillId="8" borderId="7" applyNumberFormat="1" applyFont="1" applyFill="1" applyBorder="1" applyAlignment="1" applyProtection="0">
      <alignment vertical="bottom"/>
    </xf>
    <xf numFmtId="3" fontId="22" fillId="8" borderId="7" applyNumberFormat="1" applyFont="1" applyFill="1" applyBorder="1" applyAlignment="1" applyProtection="0">
      <alignment vertical="bottom"/>
    </xf>
    <xf numFmtId="49" fontId="4" fillId="9" borderId="40" applyNumberFormat="1" applyFont="1" applyFill="1" applyBorder="1" applyAlignment="1" applyProtection="0">
      <alignment vertical="bottom"/>
    </xf>
    <xf numFmtId="0" fontId="0" fillId="9" borderId="7" applyNumberFormat="1" applyFont="1" applyFill="1" applyBorder="1" applyAlignment="1" applyProtection="0">
      <alignment vertical="bottom"/>
    </xf>
    <xf numFmtId="49" fontId="0" fillId="9" borderId="10" applyNumberFormat="1" applyFont="1" applyFill="1" applyBorder="1" applyAlignment="1" applyProtection="0">
      <alignment vertical="bottom"/>
    </xf>
    <xf numFmtId="0" fontId="22" fillId="7" borderId="17" applyNumberFormat="1" applyFont="1" applyFill="1" applyBorder="1" applyAlignment="1" applyProtection="0">
      <alignment vertical="bottom"/>
    </xf>
    <xf numFmtId="49" fontId="0" fillId="2" borderId="26" applyNumberFormat="1" applyFont="1" applyFill="1" applyBorder="1" applyAlignment="1" applyProtection="0">
      <alignment horizontal="center" vertical="center" wrapText="1"/>
    </xf>
    <xf numFmtId="63" fontId="22" fillId="8" borderId="7" applyNumberFormat="1" applyFont="1" applyFill="1" applyBorder="1" applyAlignment="1" applyProtection="0">
      <alignment vertical="bottom"/>
    </xf>
    <xf numFmtId="0" fontId="0" fillId="2" borderId="19" applyNumberFormat="0" applyFont="1" applyFill="1" applyBorder="1" applyAlignment="1" applyProtection="0">
      <alignment horizontal="center" vertical="center" wrapText="1"/>
    </xf>
    <xf numFmtId="0" fontId="0" fillId="20" borderId="7" applyNumberFormat="1" applyFont="1" applyFill="1" applyBorder="1" applyAlignment="1" applyProtection="0">
      <alignment vertical="bottom"/>
    </xf>
    <xf numFmtId="49" fontId="4" fillId="9" borderId="30" applyNumberFormat="1" applyFont="1" applyFill="1" applyBorder="1" applyAlignment="1" applyProtection="0">
      <alignment vertical="bottom"/>
    </xf>
    <xf numFmtId="0" fontId="0" fillId="2" borderId="45" applyNumberFormat="0" applyFont="1" applyFill="1" applyBorder="1" applyAlignment="1" applyProtection="0">
      <alignment horizontal="center" vertical="center" wrapText="1"/>
    </xf>
    <xf numFmtId="0" fontId="22" fillId="8" borderId="10" applyNumberFormat="1" applyFont="1" applyFill="1" applyBorder="1" applyAlignment="1" applyProtection="0">
      <alignment vertical="bottom"/>
    </xf>
    <xf numFmtId="49" fontId="0" fillId="2" borderId="5" applyNumberFormat="1" applyFont="1" applyFill="1" applyBorder="1" applyAlignment="1" applyProtection="0">
      <alignment horizontal="center" vertical="center"/>
    </xf>
    <xf numFmtId="0" fontId="22" fillId="7" borderId="20" applyNumberFormat="1" applyFont="1" applyFill="1" applyBorder="1" applyAlignment="1" applyProtection="0">
      <alignment vertical="bottom"/>
    </xf>
    <xf numFmtId="49" fontId="4" fillId="9" borderId="41" applyNumberFormat="1" applyFont="1" applyFill="1" applyBorder="1" applyAlignment="1" applyProtection="0">
      <alignment vertical="bottom"/>
    </xf>
    <xf numFmtId="0" fontId="5" fillId="8" borderId="41" applyNumberFormat="1" applyFont="1" applyFill="1" applyBorder="1" applyAlignment="1" applyProtection="0">
      <alignment vertical="bottom"/>
    </xf>
    <xf numFmtId="0" fontId="0" fillId="2" borderId="5" applyNumberFormat="0" applyFont="1" applyFill="1" applyBorder="1" applyAlignment="1" applyProtection="0">
      <alignment horizontal="center" vertical="center"/>
    </xf>
    <xf numFmtId="0" fontId="0" fillId="2" borderId="4" applyNumberFormat="0" applyFont="1" applyFill="1" applyBorder="1" applyAlignment="1" applyProtection="0">
      <alignment vertical="center"/>
    </xf>
    <xf numFmtId="0" fontId="0" applyNumberFormat="1" applyFont="1" applyFill="0" applyBorder="0" applyAlignment="1" applyProtection="0">
      <alignment vertical="bottom"/>
    </xf>
    <xf numFmtId="49" fontId="3" fillId="9" borderId="20" applyNumberFormat="1" applyFont="1" applyFill="1" applyBorder="1" applyAlignment="1" applyProtection="0">
      <alignment horizontal="left" vertical="bottom"/>
    </xf>
    <xf numFmtId="0" fontId="3" fillId="9" borderId="50" applyNumberFormat="0" applyFont="1" applyFill="1" applyBorder="1" applyAlignment="1" applyProtection="0">
      <alignment horizontal="left" vertical="bottom"/>
    </xf>
    <xf numFmtId="0" fontId="3" fillId="9" borderId="31" applyNumberFormat="0" applyFont="1" applyFill="1" applyBorder="1" applyAlignment="1" applyProtection="0">
      <alignment horizontal="left" vertical="bottom"/>
    </xf>
    <xf numFmtId="49" fontId="0" fillId="9" borderId="20" applyNumberFormat="1" applyFont="1" applyFill="1" applyBorder="1" applyAlignment="1" applyProtection="0">
      <alignment vertical="bottom" wrapText="1"/>
    </xf>
    <xf numFmtId="49" fontId="0" fillId="9" borderId="31" applyNumberFormat="1" applyFont="1" applyFill="1" applyBorder="1" applyAlignment="1" applyProtection="0">
      <alignment vertical="bottom" wrapText="1"/>
    </xf>
    <xf numFmtId="49" fontId="15" fillId="9" borderId="20" applyNumberFormat="1" applyFont="1" applyFill="1" applyBorder="1" applyAlignment="1" applyProtection="0">
      <alignment horizontal="left" vertical="bottom" wrapText="1"/>
    </xf>
    <xf numFmtId="49" fontId="3" fillId="9" borderId="38" applyNumberFormat="1" applyFont="1" applyFill="1" applyBorder="1" applyAlignment="1" applyProtection="0">
      <alignment horizontal="left" vertical="bottom"/>
    </xf>
    <xf numFmtId="0" fontId="3" fillId="9" borderId="38" applyNumberFormat="0" applyFont="1" applyFill="1" applyBorder="1" applyAlignment="1" applyProtection="0">
      <alignment horizontal="left" vertical="bottom"/>
    </xf>
    <xf numFmtId="49" fontId="0" fillId="9" borderId="38" applyNumberFormat="1" applyFont="1" applyFill="1" applyBorder="1" applyAlignment="1" applyProtection="0">
      <alignment vertical="bottom" wrapText="1"/>
    </xf>
    <xf numFmtId="49" fontId="6" fillId="9" borderId="38" applyNumberFormat="1" applyFont="1" applyFill="1" applyBorder="1" applyAlignment="1" applyProtection="0">
      <alignment horizontal="left" vertical="bottom" wrapText="1"/>
    </xf>
    <xf numFmtId="0" fontId="0" fillId="21" borderId="38" applyNumberFormat="0" applyFont="1" applyFill="1" applyBorder="1" applyAlignment="1" applyProtection="0">
      <alignment vertical="bottom"/>
    </xf>
    <xf numFmtId="0" fontId="0" fillId="21" borderId="21" applyNumberFormat="0" applyFont="1" applyFill="1" applyBorder="1" applyAlignment="1" applyProtection="0">
      <alignment vertical="bottom"/>
    </xf>
    <xf numFmtId="49" fontId="0" fillId="9" borderId="20" applyNumberFormat="1" applyFont="1" applyFill="1" applyBorder="1" applyAlignment="1" applyProtection="0">
      <alignment horizontal="left" vertical="bottom"/>
    </xf>
    <xf numFmtId="61" fontId="0" fillId="13" borderId="7" applyNumberFormat="1" applyFont="1" applyFill="1" applyBorder="1" applyAlignment="1" applyProtection="0">
      <alignment vertical="bottom"/>
    </xf>
    <xf numFmtId="59" fontId="0" fillId="13" borderId="7" applyNumberFormat="1" applyFont="1" applyFill="1" applyBorder="1" applyAlignment="1" applyProtection="0">
      <alignment vertical="bottom"/>
    </xf>
    <xf numFmtId="59" fontId="13" fillId="13" borderId="7" applyNumberFormat="1" applyFont="1" applyFill="1" applyBorder="1" applyAlignment="1" applyProtection="0">
      <alignment horizontal="right" vertical="center"/>
    </xf>
    <xf numFmtId="9" fontId="13" fillId="13" borderId="7" applyNumberFormat="1" applyFont="1" applyFill="1" applyBorder="1" applyAlignment="1" applyProtection="0">
      <alignment horizontal="right" vertical="center"/>
    </xf>
    <xf numFmtId="49" fontId="0" fillId="9" borderId="10" applyNumberFormat="1" applyFont="1" applyFill="1" applyBorder="1" applyAlignment="1" applyProtection="0">
      <alignment horizontal="left" vertical="bottom"/>
    </xf>
    <xf numFmtId="72" fontId="0" fillId="13" borderId="17" applyNumberFormat="1" applyFont="1" applyFill="1" applyBorder="1" applyAlignment="1" applyProtection="0">
      <alignment vertical="bottom"/>
    </xf>
    <xf numFmtId="0" fontId="0" fillId="21" borderId="17" applyNumberFormat="0" applyFont="1" applyFill="1" applyBorder="1" applyAlignment="1" applyProtection="0">
      <alignment vertical="bottom"/>
    </xf>
    <xf numFmtId="61" fontId="0" fillId="21" borderId="17" applyNumberFormat="1" applyFont="1" applyFill="1" applyBorder="1" applyAlignment="1" applyProtection="0">
      <alignment vertical="bottom"/>
    </xf>
    <xf numFmtId="0" fontId="0" fillId="21" borderId="62" applyNumberFormat="0" applyFont="1" applyFill="1" applyBorder="1" applyAlignment="1" applyProtection="0">
      <alignment vertical="bottom"/>
    </xf>
    <xf numFmtId="49" fontId="4" fillId="9" borderId="20" applyNumberFormat="1" applyFont="1" applyFill="1" applyBorder="1" applyAlignment="1" applyProtection="0">
      <alignment horizontal="right" vertical="bottom"/>
    </xf>
    <xf numFmtId="0" fontId="4" fillId="9" borderId="50" applyNumberFormat="0" applyFont="1" applyFill="1" applyBorder="1" applyAlignment="1" applyProtection="0">
      <alignment horizontal="right" vertical="bottom"/>
    </xf>
    <xf numFmtId="0" fontId="4" fillId="9" borderId="31" applyNumberFormat="0" applyFont="1" applyFill="1" applyBorder="1" applyAlignment="1" applyProtection="0">
      <alignment horizontal="right" vertical="bottom"/>
    </xf>
    <xf numFmtId="61" fontId="4" fillId="13" borderId="7" applyNumberFormat="1" applyFont="1" applyFill="1" applyBorder="1" applyAlignment="1" applyProtection="0">
      <alignment horizontal="right" vertical="center"/>
    </xf>
    <xf numFmtId="59" fontId="4" fillId="13" borderId="7" applyNumberFormat="1" applyFont="1" applyFill="1" applyBorder="1" applyAlignment="1" applyProtection="0">
      <alignment vertical="bottom"/>
    </xf>
    <xf numFmtId="9" fontId="15" fillId="13" borderId="7" applyNumberFormat="1" applyFont="1" applyFill="1" applyBorder="1" applyAlignment="1" applyProtection="0">
      <alignment horizontal="right" vertical="center"/>
    </xf>
    <xf numFmtId="59" fontId="4" fillId="13" borderId="15" applyNumberFormat="1" applyFont="1" applyFill="1" applyBorder="1" applyAlignment="1" applyProtection="0">
      <alignment horizontal="right" vertical="center"/>
    </xf>
    <xf numFmtId="49" fontId="4" fillId="9" borderId="10" applyNumberFormat="1" applyFont="1" applyFill="1" applyBorder="1" applyAlignment="1" applyProtection="0">
      <alignment vertical="bottom"/>
    </xf>
    <xf numFmtId="0" fontId="4" fillId="9" borderId="17" applyNumberFormat="0" applyFont="1" applyFill="1" applyBorder="1" applyAlignment="1" applyProtection="0">
      <alignment vertical="bottom"/>
    </xf>
    <xf numFmtId="72" fontId="4" fillId="13" borderId="17" applyNumberFormat="1" applyFont="1" applyFill="1" applyBorder="1" applyAlignment="1" applyProtection="0">
      <alignment vertical="bottom"/>
    </xf>
    <xf numFmtId="49" fontId="10" fillId="9" borderId="20" applyNumberFormat="1" applyFont="1" applyFill="1" applyBorder="1" applyAlignment="1" applyProtection="0">
      <alignment horizontal="left" vertical="bottom"/>
    </xf>
    <xf numFmtId="0" fontId="4" fillId="9" borderId="50" applyNumberFormat="0" applyFont="1" applyFill="1" applyBorder="1" applyAlignment="1" applyProtection="0">
      <alignment horizontal="left" vertical="bottom"/>
    </xf>
    <xf numFmtId="0" fontId="4" fillId="9" borderId="31" applyNumberFormat="0" applyFont="1" applyFill="1" applyBorder="1" applyAlignment="1" applyProtection="0">
      <alignment horizontal="left" vertical="bottom"/>
    </xf>
    <xf numFmtId="49" fontId="15" fillId="9" borderId="7" applyNumberFormat="1" applyFont="1" applyFill="1" applyBorder="1" applyAlignment="1" applyProtection="0">
      <alignment horizontal="right" vertical="center"/>
    </xf>
    <xf numFmtId="0" fontId="0" fillId="21" borderId="10" applyNumberFormat="0" applyFont="1" applyFill="1" applyBorder="1" applyAlignment="1" applyProtection="0">
      <alignment vertical="bottom"/>
    </xf>
    <xf numFmtId="0" fontId="4" fillId="21" borderId="17" applyNumberFormat="0" applyFont="1" applyFill="1" applyBorder="1" applyAlignment="1" applyProtection="0">
      <alignment vertical="bottom"/>
    </xf>
    <xf numFmtId="0" fontId="0" borderId="17" applyNumberFormat="0" applyFont="1" applyFill="0" applyBorder="1" applyAlignment="1" applyProtection="0">
      <alignment vertical="bottom"/>
    </xf>
    <xf numFmtId="49" fontId="4" fillId="9" borderId="17" applyNumberFormat="1" applyFont="1" applyFill="1" applyBorder="1" applyAlignment="1" applyProtection="0">
      <alignment horizontal="left" vertical="top" wrapText="1"/>
    </xf>
    <xf numFmtId="72" fontId="4" fillId="21" borderId="17" applyNumberFormat="1" applyFont="1" applyFill="1" applyBorder="1" applyAlignment="1" applyProtection="0">
      <alignment vertical="bottom"/>
    </xf>
    <xf numFmtId="49" fontId="4" fillId="9" borderId="30" applyNumberFormat="1" applyFont="1" applyFill="1" applyBorder="1" applyAlignment="1" applyProtection="0">
      <alignment horizontal="right" vertical="bottom"/>
    </xf>
    <xf numFmtId="1" fontId="4" fillId="13" borderId="7" applyNumberFormat="1" applyFont="1" applyFill="1" applyBorder="1" applyAlignment="1" applyProtection="0">
      <alignment vertical="bottom"/>
    </xf>
    <xf numFmtId="49" fontId="4" fillId="9" borderId="17" applyNumberFormat="1" applyFont="1" applyFill="1" applyBorder="1" applyAlignment="1" applyProtection="0">
      <alignment vertical="bottom"/>
    </xf>
    <xf numFmtId="60" fontId="0" fillId="13" borderId="17" applyNumberFormat="1" applyFont="1" applyFill="1" applyBorder="1" applyAlignment="1" applyProtection="0">
      <alignment vertical="bottom"/>
    </xf>
    <xf numFmtId="49" fontId="0" fillId="17" borderId="17" applyNumberFormat="1" applyFont="1" applyFill="1" applyBorder="1" applyAlignment="1" applyProtection="0">
      <alignment vertical="bottom"/>
    </xf>
    <xf numFmtId="49" fontId="12" fillId="9" borderId="20" applyNumberFormat="1" applyFont="1" applyFill="1" applyBorder="1" applyAlignment="1" applyProtection="0">
      <alignment horizontal="left" vertical="bottom"/>
    </xf>
    <xf numFmtId="0" fontId="12" fillId="9" borderId="50" applyNumberFormat="0" applyFont="1" applyFill="1" applyBorder="1" applyAlignment="1" applyProtection="0">
      <alignment horizontal="left" vertical="bottom"/>
    </xf>
    <xf numFmtId="0" fontId="12" fillId="9" borderId="31" applyNumberFormat="0" applyFont="1" applyFill="1" applyBorder="1" applyAlignment="1" applyProtection="0">
      <alignment horizontal="left" vertical="bottom"/>
    </xf>
    <xf numFmtId="3" fontId="14" fillId="13" borderId="7" applyNumberFormat="1" applyFont="1" applyFill="1" applyBorder="1" applyAlignment="1" applyProtection="0">
      <alignment horizontal="right" vertical="center"/>
    </xf>
    <xf numFmtId="1" fontId="12" fillId="13" borderId="7" applyNumberFormat="1" applyFont="1" applyFill="1" applyBorder="1" applyAlignment="1" applyProtection="0">
      <alignment vertical="bottom"/>
    </xf>
    <xf numFmtId="0" fontId="0" fillId="21" borderId="16" applyNumberFormat="0" applyFont="1" applyFill="1" applyBorder="1" applyAlignment="1" applyProtection="0">
      <alignment vertical="bottom"/>
    </xf>
    <xf numFmtId="9" fontId="5" fillId="8" borderId="17" applyNumberFormat="1" applyFont="1" applyFill="1" applyBorder="1" applyAlignment="1" applyProtection="0">
      <alignment vertical="bottom"/>
    </xf>
    <xf numFmtId="0" fontId="0" fillId="9" borderId="50" applyNumberFormat="0" applyFont="1" applyFill="1" applyBorder="1" applyAlignment="1" applyProtection="0">
      <alignment horizontal="left" vertical="bottom"/>
    </xf>
    <xf numFmtId="0" fontId="0" fillId="9" borderId="31" applyNumberFormat="0" applyFont="1" applyFill="1" applyBorder="1" applyAlignment="1" applyProtection="0">
      <alignment horizontal="left" vertical="bottom"/>
    </xf>
    <xf numFmtId="1" fontId="0" fillId="13" borderId="7" applyNumberFormat="1" applyFont="1" applyFill="1" applyBorder="1" applyAlignment="1" applyProtection="0">
      <alignment vertical="bottom"/>
    </xf>
    <xf numFmtId="1" fontId="13" fillId="13" borderId="7" applyNumberFormat="1" applyFont="1" applyFill="1" applyBorder="1" applyAlignment="1" applyProtection="0">
      <alignment horizontal="right" vertical="center"/>
    </xf>
    <xf numFmtId="0" fontId="5" fillId="21" borderId="17" applyNumberFormat="0" applyFont="1" applyFill="1" applyBorder="1" applyAlignment="1" applyProtection="0">
      <alignment vertical="bottom"/>
    </xf>
    <xf numFmtId="0" fontId="5" fillId="8" borderId="51" applyNumberFormat="1" applyFont="1" applyFill="1" applyBorder="1" applyAlignment="1" applyProtection="0">
      <alignment vertical="bottom"/>
    </xf>
    <xf numFmtId="0" fontId="0" fillId="21" borderId="51" applyNumberFormat="0" applyFont="1" applyFill="1" applyBorder="1" applyAlignment="1" applyProtection="0">
      <alignment vertical="bottom"/>
    </xf>
    <xf numFmtId="10" fontId="5" fillId="8" borderId="17" applyNumberFormat="1" applyFont="1" applyFill="1" applyBorder="1" applyAlignment="1" applyProtection="0">
      <alignment vertical="bottom"/>
    </xf>
    <xf numFmtId="0" fontId="3" fillId="21" borderId="35" applyNumberFormat="0" applyFont="1" applyFill="1" applyBorder="1" applyAlignment="1" applyProtection="0">
      <alignment horizontal="left" vertical="bottom"/>
    </xf>
    <xf numFmtId="0" fontId="3" fillId="21" borderId="41" applyNumberFormat="0" applyFont="1" applyFill="1" applyBorder="1" applyAlignment="1" applyProtection="0">
      <alignment horizontal="left" vertical="bottom"/>
    </xf>
    <xf numFmtId="0" fontId="0" fillId="21" borderId="41" applyNumberFormat="0" applyFont="1" applyFill="1" applyBorder="1" applyAlignment="1" applyProtection="0">
      <alignment vertical="bottom"/>
    </xf>
    <xf numFmtId="0" fontId="0" fillId="21" borderId="36" applyNumberFormat="0" applyFont="1" applyFill="1" applyBorder="1" applyAlignment="1" applyProtection="0">
      <alignment vertical="bottom"/>
    </xf>
    <xf numFmtId="0" fontId="0" fillId="9" borderId="10" applyNumberFormat="0" applyFont="1" applyFill="1" applyBorder="1" applyAlignment="1" applyProtection="0">
      <alignment horizontal="left" vertical="bottom"/>
    </xf>
    <xf numFmtId="0" fontId="3" fillId="9" borderId="17" applyNumberFormat="0" applyFont="1" applyFill="1" applyBorder="1" applyAlignment="1" applyProtection="0">
      <alignment horizontal="left" vertical="bottom"/>
    </xf>
    <xf numFmtId="0" fontId="3" fillId="21" borderId="17" applyNumberFormat="0" applyFont="1" applyFill="1" applyBorder="1" applyAlignment="1" applyProtection="0">
      <alignment horizontal="left" vertical="bottom"/>
    </xf>
    <xf numFmtId="0" fontId="21" fillId="21" borderId="17" applyNumberFormat="0" applyFont="1" applyFill="1" applyBorder="1" applyAlignment="1" applyProtection="0">
      <alignment vertical="bottom"/>
    </xf>
    <xf numFmtId="49" fontId="3" fillId="9" borderId="7" applyNumberFormat="1" applyFont="1" applyFill="1" applyBorder="1" applyAlignment="1" applyProtection="0">
      <alignment vertical="bottom"/>
    </xf>
    <xf numFmtId="0" fontId="3" fillId="9" borderId="7" applyNumberFormat="0" applyFont="1" applyFill="1" applyBorder="1" applyAlignment="1" applyProtection="0">
      <alignment vertical="bottom"/>
    </xf>
    <xf numFmtId="0" fontId="0" fillId="21" borderId="7" applyNumberFormat="0" applyFont="1" applyFill="1" applyBorder="1" applyAlignment="1" applyProtection="0">
      <alignment vertical="bottom" wrapText="1"/>
    </xf>
    <xf numFmtId="49" fontId="3" fillId="9" borderId="17" applyNumberFormat="1" applyFont="1" applyFill="1" applyBorder="1" applyAlignment="1" applyProtection="0">
      <alignment vertical="bottom"/>
    </xf>
    <xf numFmtId="0" fontId="3" fillId="9" borderId="17" applyNumberFormat="0" applyFont="1" applyFill="1" applyBorder="1" applyAlignment="1" applyProtection="0">
      <alignment vertical="bottom"/>
    </xf>
    <xf numFmtId="49" fontId="6" fillId="9" borderId="17" applyNumberFormat="1" applyFont="1" applyFill="1" applyBorder="1" applyAlignment="1" applyProtection="0">
      <alignment vertical="bottom" wrapText="1"/>
    </xf>
    <xf numFmtId="59" fontId="0" fillId="13" borderId="7" applyNumberFormat="1" applyFont="1" applyFill="1" applyBorder="1" applyAlignment="1" applyProtection="0">
      <alignment horizontal="right" vertical="center"/>
    </xf>
    <xf numFmtId="9" fontId="0" fillId="13" borderId="7" applyNumberFormat="1" applyFont="1" applyFill="1" applyBorder="1" applyAlignment="1" applyProtection="0">
      <alignment vertical="bottom"/>
    </xf>
    <xf numFmtId="60" fontId="13" fillId="13" borderId="20" applyNumberFormat="1" applyFont="1" applyFill="1" applyBorder="1" applyAlignment="1" applyProtection="0">
      <alignment horizontal="right" vertical="top" wrapText="1"/>
    </xf>
    <xf numFmtId="60" fontId="13" fillId="21" borderId="50" applyNumberFormat="1" applyFont="1" applyFill="1" applyBorder="1" applyAlignment="1" applyProtection="0">
      <alignment horizontal="right" vertical="top" wrapText="1"/>
    </xf>
    <xf numFmtId="59" fontId="0" fillId="13" borderId="17" applyNumberFormat="1" applyFont="1" applyFill="1" applyBorder="1" applyAlignment="1" applyProtection="0">
      <alignment vertical="bottom"/>
    </xf>
    <xf numFmtId="59" fontId="13" fillId="13" borderId="17" applyNumberFormat="1" applyFont="1" applyFill="1" applyBorder="1" applyAlignment="1" applyProtection="0">
      <alignment horizontal="right" vertical="center"/>
    </xf>
    <xf numFmtId="59" fontId="0" fillId="13" borderId="17" applyNumberFormat="1" applyFont="1" applyFill="1" applyBorder="1" applyAlignment="1" applyProtection="0">
      <alignment horizontal="right" vertical="center"/>
    </xf>
    <xf numFmtId="59" fontId="4" fillId="13" borderId="7" applyNumberFormat="1" applyFont="1" applyFill="1" applyBorder="1" applyAlignment="1" applyProtection="0">
      <alignment horizontal="right" vertical="center"/>
    </xf>
    <xf numFmtId="0" fontId="0" fillId="21" borderId="7" applyNumberFormat="0" applyFont="1" applyFill="1" applyBorder="1" applyAlignment="1" applyProtection="0">
      <alignment vertical="bottom"/>
    </xf>
    <xf numFmtId="59" fontId="4" fillId="13" borderId="20" applyNumberFormat="1" applyFont="1" applyFill="1" applyBorder="1" applyAlignment="1" applyProtection="0">
      <alignment horizontal="right" vertical="center"/>
    </xf>
    <xf numFmtId="60" fontId="4" fillId="13" borderId="51" applyNumberFormat="1" applyFont="1" applyFill="1" applyBorder="1" applyAlignment="1" applyProtection="0">
      <alignment horizontal="right" vertical="center"/>
    </xf>
    <xf numFmtId="60" fontId="4" fillId="21" borderId="34" applyNumberFormat="1" applyFont="1" applyFill="1" applyBorder="1" applyAlignment="1" applyProtection="0">
      <alignment horizontal="right" vertical="center"/>
    </xf>
    <xf numFmtId="59" fontId="0" fillId="13" borderId="65" applyNumberFormat="1" applyFont="1" applyFill="1" applyBorder="1" applyAlignment="1" applyProtection="0">
      <alignment vertical="bottom"/>
    </xf>
    <xf numFmtId="0" fontId="0" fillId="21" borderId="30" applyNumberFormat="0" applyFont="1" applyFill="1" applyBorder="1" applyAlignment="1" applyProtection="0">
      <alignment vertical="bottom"/>
    </xf>
    <xf numFmtId="0" fontId="0" fillId="21" borderId="50" applyNumberFormat="0" applyFont="1" applyFill="1" applyBorder="1" applyAlignment="1" applyProtection="0">
      <alignment vertical="bottom"/>
    </xf>
    <xf numFmtId="0" fontId="0" fillId="21" borderId="57" applyNumberFormat="0" applyFont="1" applyFill="1" applyBorder="1" applyAlignment="1" applyProtection="0">
      <alignment vertical="bottom"/>
    </xf>
    <xf numFmtId="49" fontId="10" fillId="9" borderId="7" applyNumberFormat="1" applyFont="1" applyFill="1" applyBorder="1" applyAlignment="1" applyProtection="0">
      <alignment vertical="bottom" wrapText="1"/>
    </xf>
    <xf numFmtId="49" fontId="4" fillId="9" borderId="66" applyNumberFormat="1" applyFont="1" applyFill="1" applyBorder="1" applyAlignment="1" applyProtection="0">
      <alignment vertical="bottom" wrapText="1"/>
    </xf>
    <xf numFmtId="49" fontId="4" fillId="9" borderId="67" applyNumberFormat="1" applyFont="1" applyFill="1" applyBorder="1" applyAlignment="1" applyProtection="0">
      <alignment vertical="bottom" wrapText="1"/>
    </xf>
    <xf numFmtId="0" fontId="0" fillId="21" borderId="68" applyNumberFormat="0" applyFont="1" applyFill="1" applyBorder="1" applyAlignment="1" applyProtection="0">
      <alignment vertical="bottom"/>
    </xf>
    <xf numFmtId="49" fontId="4" fillId="9" borderId="69" applyNumberFormat="1" applyFont="1" applyFill="1" applyBorder="1" applyAlignment="1" applyProtection="0">
      <alignment vertical="bottom" wrapText="1"/>
    </xf>
    <xf numFmtId="73" fontId="4" fillId="22" borderId="65" applyNumberFormat="1" applyFont="1" applyFill="1" applyBorder="1" applyAlignment="1" applyProtection="0">
      <alignment vertical="bottom" wrapText="1"/>
    </xf>
    <xf numFmtId="73" fontId="4" fillId="22" borderId="70" applyNumberFormat="1" applyFont="1" applyFill="1" applyBorder="1" applyAlignment="1" applyProtection="0">
      <alignment vertical="bottom" wrapText="1"/>
    </xf>
    <xf numFmtId="0" fontId="0" fillId="21" borderId="71" applyNumberFormat="0" applyFont="1" applyFill="1" applyBorder="1" applyAlignment="1" applyProtection="0">
      <alignment vertical="bottom"/>
    </xf>
    <xf numFmtId="0" fontId="4" fillId="21" borderId="20" applyNumberFormat="0" applyFont="1" applyFill="1" applyBorder="1" applyAlignment="1" applyProtection="0">
      <alignment horizontal="left" vertical="bottom"/>
    </xf>
    <xf numFmtId="0" fontId="4" fillId="21" borderId="50" applyNumberFormat="0" applyFont="1" applyFill="1" applyBorder="1" applyAlignment="1" applyProtection="0">
      <alignment horizontal="left" vertical="bottom"/>
    </xf>
    <xf numFmtId="0" fontId="0" fillId="21" borderId="67" applyNumberFormat="0" applyFont="1" applyFill="1" applyBorder="1" applyAlignment="1" applyProtection="0">
      <alignment vertical="bottom"/>
    </xf>
    <xf numFmtId="0" fontId="0" fillId="21" borderId="54" applyNumberFormat="0" applyFont="1" applyFill="1" applyBorder="1" applyAlignment="1" applyProtection="0">
      <alignment vertical="bottom"/>
    </xf>
    <xf numFmtId="0" fontId="0" fillId="21" borderId="34" applyNumberFormat="0" applyFont="1" applyFill="1" applyBorder="1" applyAlignment="1" applyProtection="0">
      <alignment vertical="bottom"/>
    </xf>
    <xf numFmtId="0" fontId="0" fillId="21" borderId="20" applyNumberFormat="0" applyFont="1" applyFill="1" applyBorder="1" applyAlignment="1" applyProtection="0">
      <alignment vertical="bottom"/>
    </xf>
    <xf numFmtId="0" fontId="0" fillId="21" borderId="31" applyNumberFormat="0" applyFont="1" applyFill="1" applyBorder="1" applyAlignment="1" applyProtection="0">
      <alignment vertical="bottom"/>
    </xf>
    <xf numFmtId="0" fontId="0" fillId="21" borderId="40" applyNumberFormat="0" applyFont="1" applyFill="1" applyBorder="1" applyAlignment="1" applyProtection="0">
      <alignment vertical="bottom"/>
    </xf>
    <xf numFmtId="73" fontId="0" fillId="21" borderId="7" applyNumberFormat="1" applyFont="1" applyFill="1" applyBorder="1" applyAlignment="1" applyProtection="0">
      <alignment horizontal="right" vertical="center"/>
    </xf>
    <xf numFmtId="0" fontId="13" fillId="21" borderId="20" applyNumberFormat="0" applyFont="1" applyFill="1" applyBorder="1" applyAlignment="1" applyProtection="0">
      <alignment horizontal="left" vertical="top" wrapText="1"/>
    </xf>
    <xf numFmtId="0" fontId="13" fillId="21" borderId="50" applyNumberFormat="0" applyFont="1" applyFill="1" applyBorder="1" applyAlignment="1" applyProtection="0">
      <alignment horizontal="left" vertical="top" wrapText="1"/>
    </xf>
    <xf numFmtId="72" fontId="13" fillId="21" borderId="20" applyNumberFormat="1" applyFont="1" applyFill="1" applyBorder="1" applyAlignment="1" applyProtection="0">
      <alignment horizontal="right" vertical="center"/>
    </xf>
    <xf numFmtId="72" fontId="13" fillId="21" borderId="31" applyNumberFormat="1" applyFont="1" applyFill="1" applyBorder="1" applyAlignment="1" applyProtection="0">
      <alignment horizontal="right" vertical="center"/>
    </xf>
    <xf numFmtId="0" fontId="13" fillId="21" borderId="7" applyNumberFormat="0" applyFont="1" applyFill="1" applyBorder="1" applyAlignment="1" applyProtection="0">
      <alignment horizontal="right" vertical="center"/>
    </xf>
    <xf numFmtId="0" fontId="4" fillId="21" borderId="20" applyNumberFormat="0" applyFont="1" applyFill="1" applyBorder="1" applyAlignment="1" applyProtection="0">
      <alignment horizontal="right" vertical="bottom"/>
    </xf>
    <xf numFmtId="0" fontId="4" fillId="21" borderId="31" applyNumberFormat="0" applyFont="1" applyFill="1" applyBorder="1" applyAlignment="1" applyProtection="0">
      <alignment horizontal="right" vertical="bottom"/>
    </xf>
    <xf numFmtId="73" fontId="15" fillId="21" borderId="7" applyNumberFormat="1" applyFont="1" applyFill="1" applyBorder="1" applyAlignment="1" applyProtection="0">
      <alignment horizontal="right" vertical="center"/>
    </xf>
    <xf numFmtId="72" fontId="15" fillId="21" borderId="20" applyNumberFormat="1" applyFont="1" applyFill="1" applyBorder="1" applyAlignment="1" applyProtection="0">
      <alignment horizontal="right" vertical="center"/>
    </xf>
    <xf numFmtId="72" fontId="15" fillId="21" borderId="31" applyNumberFormat="1" applyFont="1" applyFill="1" applyBorder="1" applyAlignment="1" applyProtection="0">
      <alignment horizontal="right" vertical="center"/>
    </xf>
    <xf numFmtId="0" fontId="0" fillId="21" borderId="27" applyNumberFormat="0" applyFont="1" applyFill="1" applyBorder="1" applyAlignment="1" applyProtection="0">
      <alignment vertical="bottom"/>
    </xf>
    <xf numFmtId="0" fontId="0" fillId="21" borderId="60" applyNumberFormat="0" applyFont="1" applyFill="1" applyBorder="1" applyAlignment="1" applyProtection="0">
      <alignment vertical="bottom"/>
    </xf>
    <xf numFmtId="0" fontId="0" fillId="21" borderId="48" applyNumberFormat="0" applyFont="1" applyFill="1" applyBorder="1" applyAlignment="1" applyProtection="0">
      <alignment vertical="bottom"/>
    </xf>
    <xf numFmtId="0" fontId="0" fillId="21" borderId="49" applyNumberFormat="0" applyFont="1" applyFill="1" applyBorder="1" applyAlignment="1" applyProtection="0">
      <alignment vertical="bottom"/>
    </xf>
    <xf numFmtId="0" fontId="0" applyNumberFormat="1" applyFont="1" applyFill="0" applyBorder="0" applyAlignment="1" applyProtection="0">
      <alignment vertical="bottom"/>
    </xf>
    <xf numFmtId="0" fontId="0" fillId="9" borderId="7" applyNumberFormat="0" applyFont="1" applyFill="1" applyBorder="1" applyAlignment="1" applyProtection="0">
      <alignment vertical="bottom"/>
    </xf>
    <xf numFmtId="0" fontId="0" fillId="21" borderId="72" applyNumberFormat="0" applyFont="1" applyFill="1" applyBorder="1" applyAlignment="1" applyProtection="0">
      <alignment vertical="bottom"/>
    </xf>
    <xf numFmtId="0" fontId="0" fillId="21" borderId="73" applyNumberFormat="0" applyFont="1" applyFill="1" applyBorder="1" applyAlignment="1" applyProtection="0">
      <alignment vertical="bottom"/>
    </xf>
    <xf numFmtId="0" fontId="0" fillId="21" borderId="74" applyNumberFormat="0" applyFont="1" applyFill="1" applyBorder="1" applyAlignment="1" applyProtection="0">
      <alignment vertical="bottom"/>
    </xf>
    <xf numFmtId="0" fontId="0" fillId="21" borderId="75" applyNumberFormat="0" applyFont="1" applyFill="1" applyBorder="1" applyAlignment="1" applyProtection="0">
      <alignment vertical="bottom"/>
    </xf>
    <xf numFmtId="65" fontId="0" fillId="13" borderId="7" applyNumberFormat="1" applyFont="1" applyFill="1" applyBorder="1" applyAlignment="1" applyProtection="0">
      <alignment vertical="bottom"/>
    </xf>
    <xf numFmtId="0" fontId="0" fillId="13" borderId="16" applyNumberFormat="1" applyFont="1" applyFill="1" applyBorder="1" applyAlignment="1" applyProtection="0">
      <alignment vertical="bottom"/>
    </xf>
    <xf numFmtId="9" fontId="22" fillId="7" borderId="7" applyNumberFormat="1" applyFont="1" applyFill="1" applyBorder="1" applyAlignment="1" applyProtection="0">
      <alignment vertical="bottom"/>
    </xf>
    <xf numFmtId="0" fontId="0" fillId="13" borderId="10" applyNumberFormat="1" applyFont="1" applyFill="1" applyBorder="1" applyAlignment="1" applyProtection="0">
      <alignment vertical="bottom"/>
    </xf>
    <xf numFmtId="0" fontId="0" fillId="21" borderId="35" applyNumberFormat="0" applyFont="1" applyFill="1" applyBorder="1" applyAlignment="1" applyProtection="0">
      <alignment vertical="bottom"/>
    </xf>
    <xf numFmtId="0" fontId="0" fillId="9" borderId="10" applyNumberFormat="0" applyFont="1" applyFill="1" applyBorder="1" applyAlignment="1" applyProtection="0">
      <alignment vertical="bottom"/>
    </xf>
    <xf numFmtId="0" fontId="0" fillId="13" borderId="17" applyNumberFormat="1" applyFont="1" applyFill="1" applyBorder="1" applyAlignment="1" applyProtection="0">
      <alignment vertical="bottom"/>
    </xf>
    <xf numFmtId="16" fontId="0" fillId="21" borderId="35" applyNumberFormat="1" applyFont="1" applyFill="1" applyBorder="1" applyAlignment="1" applyProtection="0">
      <alignment vertical="bottom"/>
    </xf>
    <xf numFmtId="0" fontId="0" fillId="21" borderId="15" applyNumberFormat="0" applyFont="1" applyFill="1" applyBorder="1" applyAlignment="1" applyProtection="0">
      <alignment vertical="bottom"/>
    </xf>
    <xf numFmtId="0" fontId="0" fillId="21" borderId="46" applyNumberFormat="0" applyFont="1" applyFill="1" applyBorder="1" applyAlignment="1" applyProtection="0">
      <alignment vertical="bottom"/>
    </xf>
    <xf numFmtId="2" fontId="22" fillId="7" borderId="7" applyNumberFormat="1" applyFont="1" applyFill="1" applyBorder="1" applyAlignment="1" applyProtection="0">
      <alignment vertical="bottom"/>
    </xf>
    <xf numFmtId="0" fontId="0" fillId="9" borderId="35" applyNumberFormat="0" applyFont="1" applyFill="1" applyBorder="1" applyAlignment="1" applyProtection="0">
      <alignment vertical="bottom"/>
    </xf>
    <xf numFmtId="0" fontId="0" fillId="13" borderId="41" applyNumberFormat="1" applyFont="1" applyFill="1" applyBorder="1" applyAlignment="1" applyProtection="0">
      <alignment vertical="bottom"/>
    </xf>
    <xf numFmtId="0" fontId="4" fillId="13" borderId="7" applyNumberFormat="1" applyFont="1" applyFill="1" applyBorder="1" applyAlignment="1" applyProtection="0">
      <alignment vertical="bottom"/>
    </xf>
    <xf numFmtId="0" fontId="0" fillId="9" borderId="16" applyNumberFormat="1" applyFont="1" applyFill="1" applyBorder="1" applyAlignment="1" applyProtection="0">
      <alignment vertical="bottom"/>
    </xf>
    <xf numFmtId="0" fontId="0" fillId="9" borderId="51" applyNumberFormat="1" applyFont="1" applyFill="1" applyBorder="1" applyAlignment="1" applyProtection="0">
      <alignment vertical="bottom"/>
    </xf>
    <xf numFmtId="0" fontId="0" fillId="9" borderId="50" applyNumberFormat="1" applyFont="1" applyFill="1" applyBorder="1" applyAlignment="1" applyProtection="0">
      <alignment vertical="bottom"/>
    </xf>
    <xf numFmtId="0" fontId="4" fillId="9" borderId="31" applyNumberFormat="1" applyFont="1" applyFill="1" applyBorder="1" applyAlignment="1" applyProtection="0">
      <alignment vertical="bottom"/>
    </xf>
    <xf numFmtId="0" fontId="22" fillId="21" borderId="10" applyNumberFormat="0" applyFont="1" applyFill="1" applyBorder="1" applyAlignment="1" applyProtection="0">
      <alignment vertical="bottom"/>
    </xf>
    <xf numFmtId="49" fontId="0" fillId="21" borderId="41" applyNumberFormat="1" applyFont="1" applyFill="1" applyBorder="1" applyAlignment="1" applyProtection="0">
      <alignment vertical="bottom"/>
    </xf>
    <xf numFmtId="0" fontId="4" fillId="21" borderId="7" applyNumberFormat="0" applyFont="1" applyFill="1" applyBorder="1" applyAlignment="1" applyProtection="0">
      <alignment vertical="bottom"/>
    </xf>
    <xf numFmtId="0" fontId="5" fillId="21" borderId="7" applyNumberFormat="0" applyFont="1" applyFill="1" applyBorder="1" applyAlignment="1" applyProtection="0">
      <alignment vertical="bottom"/>
    </xf>
    <xf numFmtId="0" fontId="22" fillId="21" borderId="7" applyNumberFormat="0" applyFont="1" applyFill="1" applyBorder="1" applyAlignment="1" applyProtection="0">
      <alignment vertical="bottom"/>
    </xf>
    <xf numFmtId="0" fontId="22" fillId="21" borderId="46" applyNumberFormat="0" applyFont="1" applyFill="1" applyBorder="1" applyAlignment="1" applyProtection="0">
      <alignment vertical="bottom"/>
    </xf>
    <xf numFmtId="66" fontId="22" fillId="7" borderId="7" applyNumberFormat="1" applyFont="1" applyFill="1" applyBorder="1" applyAlignment="1" applyProtection="0">
      <alignment vertical="bottom"/>
    </xf>
    <xf numFmtId="74" fontId="0" fillId="21" borderId="7" applyNumberFormat="1" applyFont="1" applyFill="1" applyBorder="1" applyAlignment="1" applyProtection="0">
      <alignment vertical="bottom"/>
    </xf>
    <xf numFmtId="65" fontId="0" fillId="21" borderId="7" applyNumberFormat="1" applyFont="1" applyFill="1" applyBorder="1" applyAlignment="1" applyProtection="0">
      <alignment vertical="bottom"/>
    </xf>
    <xf numFmtId="1" fontId="22" fillId="21" borderId="7" applyNumberFormat="1" applyFont="1" applyFill="1" applyBorder="1" applyAlignment="1" applyProtection="0">
      <alignment vertical="bottom"/>
    </xf>
    <xf numFmtId="0" fontId="0" fillId="2" borderId="7" applyNumberFormat="1" applyFont="1" applyFill="1" applyBorder="1" applyAlignment="1" applyProtection="0">
      <alignment vertical="bottom"/>
    </xf>
    <xf numFmtId="0" fontId="4" fillId="21" borderId="35" applyNumberFormat="0" applyFont="1" applyFill="1" applyBorder="1" applyAlignment="1" applyProtection="0">
      <alignment vertical="bottom"/>
    </xf>
    <xf numFmtId="65" fontId="22" fillId="8" borderId="7" applyNumberFormat="1" applyFont="1" applyFill="1" applyBorder="1" applyAlignment="1" applyProtection="0">
      <alignment vertical="bottom"/>
    </xf>
    <xf numFmtId="64" fontId="22" fillId="8" borderId="7" applyNumberFormat="1" applyFont="1" applyFill="1" applyBorder="1" applyAlignment="1" applyProtection="0">
      <alignment vertical="bottom"/>
    </xf>
    <xf numFmtId="2" fontId="5" fillId="21" borderId="7" applyNumberFormat="1" applyFont="1" applyFill="1" applyBorder="1" applyAlignment="1" applyProtection="0">
      <alignment vertical="bottom"/>
    </xf>
    <xf numFmtId="49" fontId="8" fillId="9" borderId="7" applyNumberFormat="1" applyFont="1" applyFill="1" applyBorder="1" applyAlignment="1" applyProtection="0">
      <alignment vertical="bottom"/>
    </xf>
    <xf numFmtId="0" fontId="0" fillId="2" borderId="4" applyNumberFormat="0" applyFont="1" applyFill="1" applyBorder="1" applyAlignment="1" applyProtection="0">
      <alignment vertical="bottom"/>
    </xf>
    <xf numFmtId="65" fontId="0" fillId="2" borderId="4" applyNumberFormat="1" applyFont="1" applyFill="1" applyBorder="1" applyAlignment="1" applyProtection="0">
      <alignment vertical="bottom"/>
    </xf>
    <xf numFmtId="0" fontId="0" applyNumberFormat="1" applyFont="1" applyFill="0" applyBorder="0" applyAlignment="1" applyProtection="0">
      <alignment vertical="bottom"/>
    </xf>
    <xf numFmtId="0" fontId="0" fillId="9" borderId="76" applyNumberFormat="0" applyFont="1" applyFill="1" applyBorder="1" applyAlignment="1" applyProtection="0">
      <alignment vertical="bottom"/>
    </xf>
    <xf numFmtId="49" fontId="0" fillId="9" borderId="45" applyNumberFormat="1" applyFont="1" applyFill="1" applyBorder="1" applyAlignment="1" applyProtection="0">
      <alignment vertical="bottom"/>
    </xf>
    <xf numFmtId="0" fontId="22" fillId="8" borderId="45" applyNumberFormat="1" applyFont="1" applyFill="1" applyBorder="1" applyAlignment="1" applyProtection="0">
      <alignment vertical="bottom"/>
    </xf>
    <xf numFmtId="1" fontId="0" fillId="13" borderId="16" applyNumberFormat="1" applyFont="1" applyFill="1" applyBorder="1" applyAlignment="1" applyProtection="0">
      <alignment horizontal="right" vertical="bottom"/>
    </xf>
    <xf numFmtId="0" fontId="0" fillId="9" borderId="57" applyNumberFormat="0" applyFont="1" applyFill="1" applyBorder="1" applyAlignment="1" applyProtection="0">
      <alignment vertical="bottom"/>
    </xf>
    <xf numFmtId="74" fontId="0" fillId="9" borderId="17" applyNumberFormat="1" applyFont="1" applyFill="1" applyBorder="1" applyAlignment="1" applyProtection="0">
      <alignment vertical="bottom"/>
    </xf>
    <xf numFmtId="0" fontId="4" fillId="9" borderId="7" applyNumberFormat="0" applyFont="1" applyFill="1" applyBorder="1" applyAlignment="1" applyProtection="0">
      <alignment vertical="bottom"/>
    </xf>
    <xf numFmtId="1" fontId="0" fillId="13" borderId="36" applyNumberFormat="1" applyFont="1" applyFill="1" applyBorder="1" applyAlignment="1" applyProtection="0">
      <alignment vertical="bottom"/>
    </xf>
    <xf numFmtId="1" fontId="22" fillId="7" borderId="7" applyNumberFormat="1" applyFont="1" applyFill="1" applyBorder="1" applyAlignment="1" applyProtection="0">
      <alignment vertical="bottom"/>
    </xf>
    <xf numFmtId="49" fontId="4" fillId="9" borderId="54" applyNumberFormat="1" applyFont="1" applyFill="1" applyBorder="1" applyAlignment="1" applyProtection="0">
      <alignment vertical="bottom"/>
    </xf>
    <xf numFmtId="0" fontId="22" fillId="21" borderId="17" applyNumberFormat="0" applyFont="1" applyFill="1" applyBorder="1" applyAlignment="1" applyProtection="0">
      <alignment vertical="bottom"/>
    </xf>
    <xf numFmtId="64" fontId="0" fillId="21" borderId="17" applyNumberFormat="1" applyFont="1" applyFill="1" applyBorder="1" applyAlignment="1" applyProtection="0">
      <alignment vertical="bottom"/>
    </xf>
    <xf numFmtId="1" fontId="0" fillId="21" borderId="17" applyNumberFormat="1" applyFont="1" applyFill="1" applyBorder="1" applyAlignment="1" applyProtection="0">
      <alignment vertical="bottom"/>
    </xf>
    <xf numFmtId="0" fontId="23" fillId="21" borderId="27" applyNumberFormat="0" applyFont="1" applyFill="1" applyBorder="1" applyAlignment="1" applyProtection="0">
      <alignment vertical="bottom"/>
    </xf>
    <xf numFmtId="1" fontId="5" fillId="21" borderId="17" applyNumberFormat="1" applyFont="1" applyFill="1" applyBorder="1" applyAlignment="1" applyProtection="0">
      <alignment vertical="bottom"/>
    </xf>
    <xf numFmtId="49" fontId="0" fillId="21" borderId="17" applyNumberFormat="1" applyFont="1" applyFill="1" applyBorder="1" applyAlignment="1" applyProtection="0">
      <alignment vertical="bottom"/>
    </xf>
    <xf numFmtId="2" fontId="22" fillId="21" borderId="17" applyNumberFormat="1" applyFont="1" applyFill="1" applyBorder="1" applyAlignment="1" applyProtection="0">
      <alignment vertical="bottom"/>
    </xf>
    <xf numFmtId="0" fontId="12" fillId="21" borderId="17" applyNumberFormat="0" applyFont="1" applyFill="1" applyBorder="1" applyAlignment="1" applyProtection="0">
      <alignment vertical="bottom"/>
    </xf>
    <xf numFmtId="0" fontId="0" applyNumberFormat="1" applyFont="1" applyFill="0" applyBorder="0" applyAlignment="1" applyProtection="0">
      <alignment vertical="bottom"/>
    </xf>
    <xf numFmtId="49" fontId="3" fillId="2" borderId="4" applyNumberFormat="1" applyFont="1" applyFill="1" applyBorder="1" applyAlignment="1" applyProtection="0">
      <alignment vertical="bottom"/>
    </xf>
    <xf numFmtId="49" fontId="4" fillId="2" borderId="4" applyNumberFormat="1" applyFont="1" applyFill="1" applyBorder="1" applyAlignment="1" applyProtection="0">
      <alignment vertical="bottom"/>
    </xf>
    <xf numFmtId="0" fontId="4" fillId="2" borderId="4" applyNumberFormat="0" applyFont="1" applyFill="1" applyBorder="1" applyAlignment="1" applyProtection="0">
      <alignment vertical="bottom"/>
    </xf>
    <xf numFmtId="49" fontId="0" fillId="2" borderId="4" applyNumberFormat="1" applyFont="1" applyFill="1" applyBorder="1" applyAlignment="1" applyProtection="0">
      <alignment vertical="bottom"/>
    </xf>
    <xf numFmtId="1" fontId="0" fillId="2" borderId="4" applyNumberFormat="1" applyFont="1" applyFill="1" applyBorder="1" applyAlignment="1" applyProtection="0">
      <alignment vertical="bottom"/>
    </xf>
    <xf numFmtId="0" fontId="0" fillId="2" borderId="4" applyNumberFormat="1" applyFont="1" applyFill="1" applyBorder="1" applyAlignment="1" applyProtection="0">
      <alignment vertical="bottom"/>
    </xf>
    <xf numFmtId="3" fontId="0" fillId="2" borderId="4" applyNumberFormat="1" applyFont="1" applyFill="1" applyBorder="1" applyAlignment="1" applyProtection="0">
      <alignment vertical="bottom"/>
    </xf>
  </cellXfs>
  <cellStyles count="1">
    <cellStyle name="Normal" xfId="0" builtinId="0"/>
  </cellStyles>
  <dxfs count="15">
    <dxf>
      <font>
        <color rgb="ff9c0006"/>
      </font>
      <fill>
        <patternFill patternType="solid">
          <fgColor indexed="24"/>
          <bgColor indexed="25"/>
        </patternFill>
      </fill>
    </dxf>
    <dxf>
      <font>
        <b val="1"/>
        <color rgb="ff000000"/>
      </font>
      <fill>
        <patternFill patternType="solid">
          <fgColor indexed="24"/>
          <bgColor indexed="19"/>
        </patternFill>
      </fill>
    </dxf>
    <dxf>
      <font>
        <b val="1"/>
        <color rgb="00000000"/>
      </font>
      <fill>
        <patternFill patternType="solid">
          <fgColor indexed="24"/>
          <bgColor indexed="20"/>
        </patternFill>
      </fill>
    </dxf>
    <dxf>
      <fill>
        <patternFill patternType="solid">
          <fgColor indexed="24"/>
          <bgColor indexed="20"/>
        </patternFill>
      </fill>
    </dxf>
    <dxf>
      <fill>
        <patternFill patternType="solid">
          <fgColor indexed="24"/>
          <bgColor indexed="20"/>
        </patternFill>
      </fill>
    </dxf>
    <dxf>
      <font>
        <b val="1"/>
        <color rgb="ffffffff"/>
      </font>
      <fill>
        <patternFill patternType="solid">
          <fgColor indexed="24"/>
          <bgColor indexed="20"/>
        </patternFill>
      </fill>
    </dxf>
    <dxf>
      <font>
        <color rgb="ff9c0006"/>
      </font>
      <fill>
        <patternFill patternType="solid">
          <fgColor indexed="24"/>
          <bgColor indexed="25"/>
        </patternFill>
      </fill>
    </dxf>
    <dxf>
      <font>
        <color rgb="ff9c0006"/>
      </font>
      <fill>
        <patternFill patternType="solid">
          <fgColor indexed="24"/>
          <bgColor indexed="25"/>
        </patternFill>
      </fill>
    </dxf>
    <dxf>
      <font>
        <b val="1"/>
        <color rgb="ffffffff"/>
      </font>
      <fill>
        <patternFill patternType="solid">
          <fgColor indexed="24"/>
          <bgColor indexed="20"/>
        </patternFill>
      </fill>
    </dxf>
    <dxf>
      <font>
        <b val="1"/>
        <color rgb="ff385623"/>
      </font>
      <fill>
        <patternFill patternType="solid">
          <fgColor indexed="24"/>
          <bgColor indexed="23"/>
        </patternFill>
      </fill>
    </dxf>
    <dxf>
      <font>
        <b val="1"/>
        <color rgb="ffff0000"/>
      </font>
      <fill>
        <patternFill patternType="solid">
          <fgColor indexed="24"/>
          <bgColor indexed="32"/>
        </patternFill>
      </fill>
    </dxf>
    <dxf>
      <font>
        <b val="1"/>
        <color rgb="ff385623"/>
      </font>
      <fill>
        <patternFill patternType="solid">
          <fgColor indexed="24"/>
          <bgColor indexed="23"/>
        </patternFill>
      </fill>
    </dxf>
    <dxf>
      <font>
        <b val="1"/>
        <color rgb="ffff0000"/>
      </font>
      <fill>
        <patternFill patternType="solid">
          <fgColor indexed="24"/>
          <bgColor indexed="32"/>
        </patternFill>
      </fill>
    </dxf>
    <dxf>
      <fill>
        <patternFill patternType="solid">
          <fgColor indexed="24"/>
          <bgColor indexed="20"/>
        </patternFill>
      </fill>
    </dxf>
    <dxf>
      <fill>
        <patternFill patternType="solid">
          <fgColor indexed="24"/>
          <bgColor indexed="17"/>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70c0"/>
      <rgbColor rgb="ff5dd5ff"/>
      <rgbColor rgb="ffccffff"/>
      <rgbColor rgb="ffe7e6e6"/>
      <rgbColor rgb="ff996633"/>
      <rgbColor rgb="ff663300"/>
      <rgbColor rgb="ff92d050"/>
      <rgbColor rgb="fffccf8e"/>
      <rgbColor rgb="ffdc9f24"/>
      <rgbColor rgb="ffff0000"/>
      <rgbColor rgb="fffff2cb"/>
      <rgbColor rgb="ff548135"/>
      <rgbColor rgb="ffe2eeda"/>
      <rgbColor rgb="00000000"/>
      <rgbColor rgb="ffffc7ce"/>
      <rgbColor rgb="ff9c0006"/>
      <rgbColor rgb="fffbd1d8"/>
      <rgbColor rgb="ffd8d8d8"/>
      <rgbColor rgb="ffffc000"/>
      <rgbColor rgb="ffcc9900"/>
      <rgbColor rgb="ff385623"/>
      <rgbColor rgb="fffbe4d5"/>
      <rgbColor rgb="ff70ad47"/>
      <rgbColor rgb="ffffff00"/>
      <rgbColor rgb="ffffccff"/>
      <rgbColor rgb="ff737373"/>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drawings/_rels/drawing2.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10</xdr:col>
      <xdr:colOff>0</xdr:colOff>
      <xdr:row>0</xdr:row>
      <xdr:rowOff>0</xdr:rowOff>
    </xdr:from>
    <xdr:to>
      <xdr:col>12</xdr:col>
      <xdr:colOff>808989</xdr:colOff>
      <xdr:row>27</xdr:row>
      <xdr:rowOff>32702</xdr:rowOff>
    </xdr:to>
    <xdr:pic>
      <xdr:nvPicPr>
        <xdr:cNvPr id="36" name="Pilt 4" descr="Pilt 4"/>
        <xdr:cNvPicPr>
          <a:picLocks noChangeAspect="1"/>
        </xdr:cNvPicPr>
      </xdr:nvPicPr>
      <xdr:blipFill>
        <a:blip r:embed="rId1">
          <a:extLst/>
        </a:blip>
        <a:stretch>
          <a:fillRect/>
        </a:stretch>
      </xdr:blipFill>
      <xdr:spPr>
        <a:xfrm>
          <a:off x="15875000" y="0"/>
          <a:ext cx="3221990" cy="6077268"/>
        </a:xfrm>
        <a:prstGeom prst="rect">
          <a:avLst/>
        </a:prstGeom>
        <a:ln w="12700" cap="flat">
          <a:noFill/>
          <a:miter lim="400000"/>
        </a:ln>
        <a:effectLst/>
      </xdr:spPr>
    </xdr:pic>
    <xdr:clientData/>
  </xdr:twoCellAnchor>
  <xdr:twoCellAnchor>
    <xdr:from>
      <xdr:col>12</xdr:col>
      <xdr:colOff>899160</xdr:colOff>
      <xdr:row>0</xdr:row>
      <xdr:rowOff>0</xdr:rowOff>
    </xdr:from>
    <xdr:to>
      <xdr:col>20</xdr:col>
      <xdr:colOff>171450</xdr:colOff>
      <xdr:row>15</xdr:row>
      <xdr:rowOff>42352</xdr:rowOff>
    </xdr:to>
    <xdr:pic>
      <xdr:nvPicPr>
        <xdr:cNvPr id="37" name="Pilt 1" descr="Pilt 1"/>
        <xdr:cNvPicPr>
          <a:picLocks noChangeAspect="1"/>
        </xdr:cNvPicPr>
      </xdr:nvPicPr>
      <xdr:blipFill>
        <a:blip r:embed="rId2">
          <a:extLst/>
        </a:blip>
        <a:stretch>
          <a:fillRect/>
        </a:stretch>
      </xdr:blipFill>
      <xdr:spPr>
        <a:xfrm>
          <a:off x="19187160" y="0"/>
          <a:ext cx="6028690" cy="3737418"/>
        </a:xfrm>
        <a:prstGeom prst="rect">
          <a:avLst/>
        </a:prstGeom>
        <a:ln w="12700" cap="flat">
          <a:noFill/>
          <a:miter lim="400000"/>
        </a:ln>
        <a:effectLst/>
      </xdr:spPr>
    </xdr:pic>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6.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2013 - 2022 Theme">
  <a:themeElements>
    <a:clrScheme name="Office 2013 - 2022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2013 - 2022 Theme">
      <a:majorFont>
        <a:latin typeface="Helvetica Neue"/>
        <a:ea typeface="Helvetica Neue"/>
        <a:cs typeface="Helvetica Neue"/>
      </a:majorFont>
      <a:minorFont>
        <a:latin typeface="Helvetica Neue"/>
        <a:ea typeface="Helvetica Neue"/>
        <a:cs typeface="Helvetica Neue"/>
      </a:minorFont>
    </a:fontScheme>
    <a:fmtScheme name="Office 2013 - 2022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5.xml.rels><?xml version="1.0" encoding="UTF-8"?>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6.xml.rels><?xml version="1.0" encoding="UTF-8"?>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5.vml"/><Relationship Id="rId3" Type="http://schemas.openxmlformats.org/officeDocument/2006/relationships/comments" Target="../comments5.xml"/></Relationships>

</file>

<file path=xl/worksheets/_rels/sheet7.xml.rels><?xml version="1.0" encoding="UTF-8"?>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6.vml"/><Relationship Id="rId3" Type="http://schemas.openxmlformats.org/officeDocument/2006/relationships/comments" Target="../comments6.xml"/></Relationships>

</file>

<file path=xl/worksheets/sheet1.xml><?xml version="1.0" encoding="utf-8"?>
<worksheet xmlns:r="http://schemas.openxmlformats.org/officeDocument/2006/relationships" xmlns="http://schemas.openxmlformats.org/spreadsheetml/2006/main">
  <dimension ref="A1:N27"/>
  <sheetViews>
    <sheetView workbookViewId="0" showGridLines="0" defaultGridColor="1"/>
  </sheetViews>
  <sheetFormatPr defaultColWidth="8.83333" defaultRowHeight="14.25" customHeight="1" outlineLevelRow="0" outlineLevelCol="0"/>
  <cols>
    <col min="1" max="11" width="4.85156" style="1" customWidth="1"/>
    <col min="12" max="12" width="39.8516" style="1" customWidth="1"/>
    <col min="13" max="14" width="8.85156" style="1" customWidth="1"/>
    <col min="15" max="16384" width="8.85156" style="1" customWidth="1"/>
  </cols>
  <sheetData>
    <row r="1" ht="54" customHeight="1">
      <c r="A1" t="s" s="2">
        <v>0</v>
      </c>
      <c r="B1" s="3"/>
      <c r="C1" s="3"/>
      <c r="D1" s="3"/>
      <c r="E1" s="3"/>
      <c r="F1" s="3"/>
      <c r="G1" s="3"/>
      <c r="H1" s="3"/>
      <c r="I1" s="3"/>
      <c r="J1" s="3"/>
      <c r="K1" s="4"/>
      <c r="L1" t="s" s="5">
        <v>1</v>
      </c>
      <c r="M1" s="6"/>
      <c r="N1" s="6"/>
    </row>
    <row r="2" ht="13.55" customHeight="1">
      <c r="A2" s="7"/>
      <c r="B2" s="7"/>
      <c r="C2" s="7"/>
      <c r="D2" s="7"/>
      <c r="E2" s="7"/>
      <c r="F2" s="7"/>
      <c r="G2" s="7"/>
      <c r="H2" s="7"/>
      <c r="I2" s="7"/>
      <c r="J2" s="7"/>
      <c r="K2" s="8"/>
      <c r="L2" t="s" s="9">
        <v>2</v>
      </c>
      <c r="M2" s="6"/>
      <c r="N2" s="6"/>
    </row>
    <row r="3" ht="13.55" customHeight="1">
      <c r="A3" s="7"/>
      <c r="B3" s="7"/>
      <c r="C3" s="7"/>
      <c r="D3" s="7"/>
      <c r="E3" s="7"/>
      <c r="F3" s="7"/>
      <c r="G3" s="7"/>
      <c r="H3" s="7"/>
      <c r="I3" s="7"/>
      <c r="J3" s="7"/>
      <c r="K3" s="8"/>
      <c r="L3" t="s" s="10">
        <v>3</v>
      </c>
      <c r="M3" s="11"/>
      <c r="N3" s="6"/>
    </row>
    <row r="4" ht="13.55" customHeight="1">
      <c r="A4" s="7"/>
      <c r="B4" s="7"/>
      <c r="C4" s="7"/>
      <c r="D4" s="7"/>
      <c r="E4" s="7"/>
      <c r="F4" s="7"/>
      <c r="G4" s="7"/>
      <c r="H4" s="7"/>
      <c r="I4" s="7"/>
      <c r="J4" s="7"/>
      <c r="K4" s="8"/>
      <c r="L4" t="s" s="12">
        <v>4</v>
      </c>
      <c r="M4" s="11"/>
      <c r="N4" s="6"/>
    </row>
    <row r="5" ht="28.5" customHeight="1">
      <c r="A5" s="7"/>
      <c r="B5" s="7"/>
      <c r="C5" s="7"/>
      <c r="D5" s="7"/>
      <c r="E5" s="7"/>
      <c r="F5" s="7"/>
      <c r="G5" s="7"/>
      <c r="H5" s="7"/>
      <c r="I5" s="7"/>
      <c r="J5" s="7"/>
      <c r="K5" s="8"/>
      <c r="L5" t="s" s="13">
        <v>5</v>
      </c>
      <c r="M5" s="11"/>
      <c r="N5" s="6"/>
    </row>
    <row r="6" ht="42.75" customHeight="1">
      <c r="A6" s="7"/>
      <c r="B6" s="7"/>
      <c r="C6" s="7"/>
      <c r="D6" s="7"/>
      <c r="E6" s="7"/>
      <c r="F6" s="7"/>
      <c r="G6" s="7"/>
      <c r="H6" s="7"/>
      <c r="I6" s="7"/>
      <c r="J6" s="7"/>
      <c r="K6" s="8"/>
      <c r="L6" t="s" s="14">
        <v>6</v>
      </c>
      <c r="M6" s="11"/>
      <c r="N6" s="6"/>
    </row>
    <row r="7" ht="13.55" customHeight="1">
      <c r="A7" s="7"/>
      <c r="B7" s="7"/>
      <c r="C7" s="7"/>
      <c r="D7" s="7"/>
      <c r="E7" s="7"/>
      <c r="F7" s="7"/>
      <c r="G7" s="7"/>
      <c r="H7" s="7"/>
      <c r="I7" s="7"/>
      <c r="J7" s="7"/>
      <c r="K7" s="8"/>
      <c r="L7" s="15"/>
      <c r="M7" s="6"/>
      <c r="N7" s="6"/>
    </row>
    <row r="8" ht="13.55" customHeight="1">
      <c r="A8" s="7"/>
      <c r="B8" s="7"/>
      <c r="C8" s="7"/>
      <c r="D8" s="7"/>
      <c r="E8" s="7"/>
      <c r="F8" s="7"/>
      <c r="G8" s="7"/>
      <c r="H8" s="7"/>
      <c r="I8" s="7"/>
      <c r="J8" s="7"/>
      <c r="K8" s="8"/>
      <c r="L8" t="s" s="9">
        <v>7</v>
      </c>
      <c r="M8" s="6"/>
      <c r="N8" s="6"/>
    </row>
    <row r="9" ht="28.5" customHeight="1">
      <c r="A9" s="7"/>
      <c r="B9" s="7"/>
      <c r="C9" s="7"/>
      <c r="D9" s="7"/>
      <c r="E9" s="7"/>
      <c r="F9" s="7"/>
      <c r="G9" s="7"/>
      <c r="H9" s="7"/>
      <c r="I9" s="7"/>
      <c r="J9" s="7"/>
      <c r="K9" s="8"/>
      <c r="L9" t="s" s="16">
        <v>8</v>
      </c>
      <c r="M9" s="11"/>
      <c r="N9" s="6"/>
    </row>
    <row r="10" ht="28.5" customHeight="1">
      <c r="A10" s="7"/>
      <c r="B10" s="7"/>
      <c r="C10" s="7"/>
      <c r="D10" s="7"/>
      <c r="E10" s="7"/>
      <c r="F10" s="7"/>
      <c r="G10" s="7"/>
      <c r="H10" s="7"/>
      <c r="I10" s="7"/>
      <c r="J10" s="7"/>
      <c r="K10" s="8"/>
      <c r="L10" t="s" s="17">
        <v>9</v>
      </c>
      <c r="M10" s="11"/>
      <c r="N10" s="6"/>
    </row>
    <row r="11" ht="13.55" customHeight="1">
      <c r="A11" s="7"/>
      <c r="B11" s="7"/>
      <c r="C11" s="7"/>
      <c r="D11" s="7"/>
      <c r="E11" s="7"/>
      <c r="F11" s="7"/>
      <c r="G11" s="7"/>
      <c r="H11" s="7"/>
      <c r="I11" s="7"/>
      <c r="J11" s="7"/>
      <c r="K11" s="8"/>
      <c r="L11" s="18"/>
      <c r="M11" s="6"/>
      <c r="N11" t="s" s="19">
        <v>10</v>
      </c>
    </row>
    <row r="12" ht="13.55" customHeight="1">
      <c r="A12" s="7"/>
      <c r="B12" s="7"/>
      <c r="C12" s="7"/>
      <c r="D12" s="7"/>
      <c r="E12" s="7"/>
      <c r="F12" s="7"/>
      <c r="G12" s="7"/>
      <c r="H12" s="7"/>
      <c r="I12" s="7"/>
      <c r="J12" s="7"/>
      <c r="K12" s="8"/>
      <c r="L12" t="s" s="20">
        <v>11</v>
      </c>
      <c r="M12" s="6"/>
      <c r="N12" s="6"/>
    </row>
    <row r="13" ht="13.55" customHeight="1">
      <c r="A13" s="7"/>
      <c r="B13" s="7"/>
      <c r="C13" s="7"/>
      <c r="D13" s="7"/>
      <c r="E13" s="7"/>
      <c r="F13" s="7"/>
      <c r="G13" s="7"/>
      <c r="H13" s="7"/>
      <c r="I13" s="7"/>
      <c r="J13" s="7"/>
      <c r="K13" s="8"/>
      <c r="L13" t="s" s="21">
        <v>12</v>
      </c>
      <c r="M13" s="11"/>
      <c r="N13" s="6"/>
    </row>
    <row r="14" ht="13.55" customHeight="1">
      <c r="A14" s="7"/>
      <c r="B14" s="7"/>
      <c r="C14" s="7"/>
      <c r="D14" s="7"/>
      <c r="E14" s="7"/>
      <c r="F14" s="7"/>
      <c r="G14" s="7"/>
      <c r="H14" s="7"/>
      <c r="I14" s="7"/>
      <c r="J14" s="7"/>
      <c r="K14" s="8"/>
      <c r="L14" s="22"/>
      <c r="M14" s="6"/>
      <c r="N14" s="6"/>
    </row>
    <row r="15" ht="13.55" customHeight="1">
      <c r="A15" s="7"/>
      <c r="B15" s="7"/>
      <c r="C15" s="7"/>
      <c r="D15" s="7"/>
      <c r="E15" s="7"/>
      <c r="F15" s="7"/>
      <c r="G15" s="7"/>
      <c r="H15" s="7"/>
      <c r="I15" s="7"/>
      <c r="J15" s="7"/>
      <c r="K15" s="8"/>
      <c r="L15" s="23"/>
      <c r="M15" s="6"/>
      <c r="N15" s="6"/>
    </row>
    <row r="16" ht="13.55" customHeight="1">
      <c r="A16" s="7"/>
      <c r="B16" s="7"/>
      <c r="C16" s="7"/>
      <c r="D16" s="7"/>
      <c r="E16" s="7"/>
      <c r="F16" s="7"/>
      <c r="G16" s="7"/>
      <c r="H16" s="7"/>
      <c r="I16" s="7"/>
      <c r="J16" s="7"/>
      <c r="K16" s="8"/>
      <c r="L16" t="s" s="24">
        <v>13</v>
      </c>
      <c r="M16" s="6"/>
      <c r="N16" s="6"/>
    </row>
    <row r="17" ht="13.55" customHeight="1">
      <c r="A17" s="7"/>
      <c r="B17" s="7"/>
      <c r="C17" s="7"/>
      <c r="D17" s="7"/>
      <c r="E17" s="7"/>
      <c r="F17" s="7"/>
      <c r="G17" s="7"/>
      <c r="H17" s="7"/>
      <c r="I17" s="7"/>
      <c r="J17" s="7"/>
      <c r="K17" s="8"/>
      <c r="L17" t="s" s="25">
        <v>14</v>
      </c>
      <c r="M17" s="26"/>
      <c r="N17" s="6"/>
    </row>
    <row r="18" ht="28.5" customHeight="1">
      <c r="A18" s="7"/>
      <c r="B18" s="7"/>
      <c r="C18" s="7"/>
      <c r="D18" s="7"/>
      <c r="E18" s="7"/>
      <c r="F18" s="7"/>
      <c r="G18" s="7"/>
      <c r="H18" s="7"/>
      <c r="I18" s="7"/>
      <c r="J18" s="7"/>
      <c r="K18" s="8"/>
      <c r="L18" t="s" s="27">
        <v>15</v>
      </c>
      <c r="M18" s="26"/>
      <c r="N18" s="6"/>
    </row>
    <row r="19" ht="13.55" customHeight="1">
      <c r="A19" s="7"/>
      <c r="B19" s="7"/>
      <c r="C19" s="7"/>
      <c r="D19" s="7"/>
      <c r="E19" s="7"/>
      <c r="F19" s="7"/>
      <c r="G19" s="7"/>
      <c r="H19" s="7"/>
      <c r="I19" s="7"/>
      <c r="J19" s="7"/>
      <c r="K19" s="8"/>
      <c r="L19" t="s" s="28">
        <v>16</v>
      </c>
      <c r="M19" s="26"/>
      <c r="N19" s="6"/>
    </row>
    <row r="20" ht="13.55" customHeight="1">
      <c r="A20" s="7"/>
      <c r="B20" s="7"/>
      <c r="C20" s="7"/>
      <c r="D20" s="7"/>
      <c r="E20" s="7"/>
      <c r="F20" s="7"/>
      <c r="G20" s="7"/>
      <c r="H20" s="7"/>
      <c r="I20" s="7"/>
      <c r="J20" s="7"/>
      <c r="K20" s="8"/>
      <c r="L20" s="29"/>
      <c r="M20" s="6"/>
      <c r="N20" s="6"/>
    </row>
    <row r="21" ht="13.55" customHeight="1">
      <c r="A21" s="7"/>
      <c r="B21" s="7"/>
      <c r="C21" s="7"/>
      <c r="D21" s="7"/>
      <c r="E21" s="7"/>
      <c r="F21" s="7"/>
      <c r="G21" s="7"/>
      <c r="H21" s="7"/>
      <c r="I21" s="7"/>
      <c r="J21" s="7"/>
      <c r="K21" s="8"/>
      <c r="L21" t="s" s="20">
        <v>17</v>
      </c>
      <c r="M21" s="6"/>
      <c r="N21" s="6"/>
    </row>
    <row r="22" ht="28.5" customHeight="1">
      <c r="A22" s="7"/>
      <c r="B22" s="7"/>
      <c r="C22" s="7"/>
      <c r="D22" s="7"/>
      <c r="E22" s="7"/>
      <c r="F22" s="7"/>
      <c r="G22" s="7"/>
      <c r="H22" s="7"/>
      <c r="I22" s="7"/>
      <c r="J22" s="7"/>
      <c r="K22" s="8"/>
      <c r="L22" t="s" s="30">
        <v>18</v>
      </c>
      <c r="M22" s="11"/>
      <c r="N22" s="6"/>
    </row>
    <row r="23" ht="13.55" customHeight="1">
      <c r="A23" s="7"/>
      <c r="B23" s="7"/>
      <c r="C23" s="7"/>
      <c r="D23" s="7"/>
      <c r="E23" s="7"/>
      <c r="F23" s="7"/>
      <c r="G23" s="7"/>
      <c r="H23" s="7"/>
      <c r="I23" s="7"/>
      <c r="J23" s="7"/>
      <c r="K23" s="8"/>
      <c r="L23" t="s" s="31">
        <v>19</v>
      </c>
      <c r="M23" s="11"/>
      <c r="N23" s="6"/>
    </row>
    <row r="24" ht="13.55" customHeight="1">
      <c r="A24" s="7"/>
      <c r="B24" s="7"/>
      <c r="C24" s="7"/>
      <c r="D24" s="7"/>
      <c r="E24" s="7"/>
      <c r="F24" s="7"/>
      <c r="G24" s="7"/>
      <c r="H24" s="7"/>
      <c r="I24" s="7"/>
      <c r="J24" s="7"/>
      <c r="K24" s="8"/>
      <c r="L24" t="s" s="32">
        <v>20</v>
      </c>
      <c r="M24" s="11"/>
      <c r="N24" s="6"/>
    </row>
    <row r="25" ht="13.55" customHeight="1">
      <c r="A25" s="7"/>
      <c r="B25" s="7"/>
      <c r="C25" s="7"/>
      <c r="D25" s="7"/>
      <c r="E25" s="7"/>
      <c r="F25" s="7"/>
      <c r="G25" s="7"/>
      <c r="H25" s="7"/>
      <c r="I25" s="7"/>
      <c r="J25" s="7"/>
      <c r="K25" s="8"/>
      <c r="L25" s="15"/>
      <c r="M25" s="6"/>
      <c r="N25" s="6"/>
    </row>
    <row r="26" ht="13.55" customHeight="1">
      <c r="A26" s="7"/>
      <c r="B26" s="7"/>
      <c r="C26" s="7"/>
      <c r="D26" s="7"/>
      <c r="E26" s="7"/>
      <c r="F26" s="7"/>
      <c r="G26" s="7"/>
      <c r="H26" s="7"/>
      <c r="I26" s="7"/>
      <c r="J26" s="7"/>
      <c r="K26" s="8"/>
      <c r="L26" s="33"/>
      <c r="M26" s="6"/>
      <c r="N26" s="6"/>
    </row>
    <row r="27" ht="13.55" customHeight="1">
      <c r="A27" s="7"/>
      <c r="B27" s="7"/>
      <c r="C27" s="7"/>
      <c r="D27" s="7"/>
      <c r="E27" s="7"/>
      <c r="F27" s="7"/>
      <c r="G27" s="7"/>
      <c r="H27" s="7"/>
      <c r="I27" s="7"/>
      <c r="J27" s="7"/>
      <c r="K27" s="8"/>
      <c r="L27" s="33"/>
      <c r="M27" s="6"/>
      <c r="N27" s="6"/>
    </row>
  </sheetData>
  <mergeCells count="1">
    <mergeCell ref="A1:K27"/>
  </mergeCells>
  <conditionalFormatting sqref="L23:L24">
    <cfRule type="cellIs" dxfId="0" priority="1" operator="lessThan" stopIfTrue="1">
      <formula>1</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K60"/>
  <sheetViews>
    <sheetView workbookViewId="0" showGridLines="0" defaultGridColor="1"/>
  </sheetViews>
  <sheetFormatPr defaultColWidth="8.83333" defaultRowHeight="14.25" customHeight="1" outlineLevelRow="0" outlineLevelCol="0"/>
  <cols>
    <col min="1" max="1" width="47.1719" style="34" customWidth="1"/>
    <col min="2" max="2" width="27.1719" style="34" customWidth="1"/>
    <col min="3" max="3" width="24.1719" style="34" customWidth="1"/>
    <col min="4" max="6" width="16.8516" style="34" customWidth="1"/>
    <col min="7" max="7" width="15.8516" style="34" customWidth="1"/>
    <col min="8" max="8" width="15.5" style="34" customWidth="1"/>
    <col min="9" max="10" width="13.1719" style="34" customWidth="1"/>
    <col min="11" max="11" width="13.5" style="34" customWidth="1"/>
    <col min="12" max="16384" width="8.85156" style="34" customWidth="1"/>
  </cols>
  <sheetData>
    <row r="1" ht="89" customHeight="1">
      <c r="A1" t="s" s="35">
        <v>21</v>
      </c>
      <c r="B1" s="36"/>
      <c r="C1" s="36"/>
      <c r="D1" s="36"/>
      <c r="E1" s="36"/>
      <c r="F1" s="36"/>
      <c r="G1" s="6"/>
      <c r="H1" s="6"/>
      <c r="I1" s="6"/>
      <c r="J1" s="6"/>
      <c r="K1" s="6"/>
    </row>
    <row r="2" ht="18" customHeight="1">
      <c r="A2" t="s" s="37">
        <v>22</v>
      </c>
      <c r="B2" s="6"/>
      <c r="C2" s="6"/>
      <c r="D2" s="6"/>
      <c r="E2" s="6"/>
      <c r="F2" s="6"/>
      <c r="G2" s="6"/>
      <c r="H2" s="6"/>
      <c r="I2" s="6"/>
      <c r="J2" s="6"/>
      <c r="K2" s="6"/>
    </row>
    <row r="3" ht="13.55" customHeight="1">
      <c r="A3" t="s" s="38">
        <v>23</v>
      </c>
      <c r="B3" s="39"/>
      <c r="C3" s="40"/>
      <c r="D3" s="40"/>
      <c r="E3" s="40"/>
      <c r="F3" s="40"/>
      <c r="G3" s="6"/>
      <c r="H3" s="6"/>
      <c r="I3" s="6"/>
      <c r="J3" s="6"/>
      <c r="K3" s="6"/>
    </row>
    <row r="4" ht="13.55" customHeight="1">
      <c r="A4" t="s" s="41">
        <v>24</v>
      </c>
      <c r="B4" t="s" s="42">
        <v>25</v>
      </c>
      <c r="C4" s="43"/>
      <c r="D4" s="43"/>
      <c r="E4" s="43"/>
      <c r="F4" s="43"/>
      <c r="G4" s="11"/>
      <c r="H4" s="6"/>
      <c r="I4" s="6"/>
      <c r="J4" s="6"/>
      <c r="K4" s="6"/>
    </row>
    <row r="5" ht="13.55" customHeight="1">
      <c r="A5" t="s" s="41">
        <v>26</v>
      </c>
      <c r="B5" s="44">
        <v>4000</v>
      </c>
      <c r="C5" t="s" s="45">
        <f>IF(B5&lt;2000,"Alla 2000 külastajaga sündmuste mõju mudel usalduväärselt ei prognoosi",IF(B5&gt;50000,"Mudel ei prognoosi usaldusväärselt üle 50 000 külastajaga sündmuse mõju","Mudel töötab, kui külastajate arv on vahemikus 2000 - 50 000"))</f>
        <v>27</v>
      </c>
      <c r="D5" s="46"/>
      <c r="E5" s="46"/>
      <c r="F5" s="47"/>
      <c r="G5" s="26"/>
      <c r="H5" s="6"/>
      <c r="I5" s="6"/>
      <c r="J5" s="6"/>
      <c r="K5" s="6"/>
    </row>
    <row r="6" ht="13.55" customHeight="1">
      <c r="A6" t="s" s="41">
        <v>28</v>
      </c>
      <c r="B6" s="48">
        <v>4</v>
      </c>
      <c r="C6" t="s" s="49">
        <v>29</v>
      </c>
      <c r="D6" s="50"/>
      <c r="E6" s="50"/>
      <c r="F6" s="50"/>
      <c r="G6" s="26"/>
      <c r="H6" s="6"/>
      <c r="I6" s="6"/>
      <c r="J6" s="6"/>
      <c r="K6" s="6"/>
    </row>
    <row r="7" ht="13.55" customHeight="1">
      <c r="A7" t="s" s="51">
        <v>30</v>
      </c>
      <c r="B7" t="s" s="52">
        <v>31</v>
      </c>
      <c r="C7" s="53"/>
      <c r="D7" s="54"/>
      <c r="E7" s="54"/>
      <c r="F7" s="54"/>
      <c r="G7" s="6"/>
      <c r="H7" s="6"/>
      <c r="I7" s="6"/>
      <c r="J7" s="6"/>
      <c r="K7" s="6"/>
    </row>
    <row r="8" ht="13.55" customHeight="1">
      <c r="A8" t="s" s="41">
        <v>32</v>
      </c>
      <c r="B8" t="s" s="55">
        <v>33</v>
      </c>
      <c r="C8" t="s" s="56">
        <f>IF(B8="Muu piirkond","Kirjuta alla sinisesse lahtrisse uuritava piirkonna elanike arv:",IF('KOV-id'!E6&lt;5000,"NB! Alla 5000 elanikuga KOV-ide puhul ei prognoosi mudel sündmusi usaldusväärselt",""))</f>
      </c>
      <c r="D8" s="57"/>
      <c r="E8" s="57"/>
      <c r="F8" s="58"/>
      <c r="G8" s="6"/>
      <c r="H8" s="6"/>
      <c r="I8" s="6"/>
      <c r="J8" s="6"/>
      <c r="K8" s="6"/>
    </row>
    <row r="9" ht="15" customHeight="1">
      <c r="A9" t="s" s="51">
        <v>34</v>
      </c>
      <c r="B9" t="s" s="59">
        <v>35</v>
      </c>
      <c r="C9" s="60"/>
      <c r="D9" s="40"/>
      <c r="E9" s="40"/>
      <c r="F9" s="40"/>
      <c r="G9" s="6"/>
      <c r="H9" s="6"/>
      <c r="I9" s="6"/>
      <c r="J9" s="6"/>
      <c r="K9" s="6"/>
    </row>
    <row r="10" ht="13.55" customHeight="1">
      <c r="A10" t="s" s="41">
        <v>36</v>
      </c>
      <c r="B10" t="s" s="61">
        <v>37</v>
      </c>
      <c r="C10" t="s" s="49">
        <v>38</v>
      </c>
      <c r="D10" s="50"/>
      <c r="E10" s="50"/>
      <c r="F10" s="50"/>
      <c r="G10" s="26"/>
      <c r="H10" s="6"/>
      <c r="I10" s="6"/>
      <c r="J10" s="6"/>
      <c r="K10" s="6"/>
    </row>
    <row r="11" ht="13.55" customHeight="1">
      <c r="A11" t="s" s="41">
        <v>39</v>
      </c>
      <c r="B11" t="s" s="59">
        <v>40</v>
      </c>
      <c r="C11" t="s" s="62">
        <v>41</v>
      </c>
      <c r="D11" s="50"/>
      <c r="E11" s="50"/>
      <c r="F11" s="50"/>
      <c r="G11" s="26"/>
      <c r="H11" s="6"/>
      <c r="I11" s="6"/>
      <c r="J11" s="6"/>
      <c r="K11" s="6"/>
    </row>
    <row r="12" ht="13.55" customHeight="1">
      <c r="A12" t="s" s="41">
        <v>42</v>
      </c>
      <c r="B12" t="s" s="55">
        <v>43</v>
      </c>
      <c r="C12" s="63"/>
      <c r="D12" s="64"/>
      <c r="E12" s="64"/>
      <c r="F12" s="64"/>
      <c r="G12" s="6"/>
      <c r="H12" s="6"/>
      <c r="I12" s="6"/>
      <c r="J12" s="6"/>
      <c r="K12" s="6"/>
    </row>
    <row r="13" ht="13.55" customHeight="1">
      <c r="A13" t="s" s="65">
        <v>44</v>
      </c>
      <c r="B13" s="66"/>
      <c r="C13" s="67"/>
      <c r="D13" s="67"/>
      <c r="E13" s="67"/>
      <c r="F13" s="67"/>
      <c r="G13" s="67"/>
      <c r="H13" s="67"/>
      <c r="I13" s="6"/>
      <c r="J13" s="6"/>
      <c r="K13" s="6"/>
    </row>
    <row r="14" ht="28.5" customHeight="1">
      <c r="A14" t="s" s="68">
        <v>45</v>
      </c>
      <c r="B14" t="s" s="69">
        <v>46</v>
      </c>
      <c r="C14" t="s" s="70">
        <v>46</v>
      </c>
      <c r="D14" t="s" s="69">
        <v>47</v>
      </c>
      <c r="E14" t="s" s="71">
        <v>48</v>
      </c>
      <c r="F14" t="s" s="71">
        <v>49</v>
      </c>
      <c r="G14" t="s" s="72">
        <v>48</v>
      </c>
      <c r="H14" t="s" s="72">
        <v>49</v>
      </c>
      <c r="I14" s="11"/>
      <c r="J14" s="6"/>
      <c r="K14" s="6"/>
    </row>
    <row r="15" ht="13.55" customHeight="1">
      <c r="A15" t="s" s="21">
        <v>50</v>
      </c>
      <c r="B15" s="73">
        <v>0.08</v>
      </c>
      <c r="C15" s="74">
        <f>IF(B15&lt;&gt;"",B15,0.17-0.035*'KOV-id'!F6)</f>
        <v>0.08</v>
      </c>
      <c r="D15" s="75">
        <f>C15*B5</f>
        <v>320</v>
      </c>
      <c r="E15" s="48">
        <v>2.5</v>
      </c>
      <c r="F15" s="48">
        <v>2.5</v>
      </c>
      <c r="G15" s="76">
        <f>IF(E15="",IF('KOV-id'!F6=1,H15,H15+1),E15)</f>
        <v>2.5</v>
      </c>
      <c r="H15" s="76">
        <f>IF(F15="",1.7+0.217*'maj_arvutused'!I10+1.244*'Parameetrid'!L38,F15)</f>
        <v>2.5</v>
      </c>
      <c r="I15" s="11"/>
      <c r="J15" s="6"/>
      <c r="K15" s="6"/>
    </row>
    <row r="16" ht="13.55" customHeight="1">
      <c r="A16" t="s" s="21">
        <v>51</v>
      </c>
      <c r="B16" s="73">
        <v>0.82</v>
      </c>
      <c r="C16" s="74">
        <f>IF(B16&lt;&gt;"",B16,1.89-LN('KOV-id'!E6)*0.128)</f>
        <v>0.82</v>
      </c>
      <c r="D16" s="77">
        <f>C16*B5</f>
        <v>3280</v>
      </c>
      <c r="E16" s="78"/>
      <c r="F16" s="48">
        <v>2.5</v>
      </c>
      <c r="G16" s="79"/>
      <c r="H16" s="80">
        <f>IF(F16="",IF('Parameetrid'!K38="K",3.05,1.875),F16)</f>
        <v>2.5</v>
      </c>
      <c r="I16" s="11"/>
      <c r="J16" s="6"/>
      <c r="K16" s="6"/>
    </row>
    <row r="17" ht="13.55" customHeight="1">
      <c r="A17" t="s" s="21">
        <v>52</v>
      </c>
      <c r="B17" s="73">
        <v>0.1</v>
      </c>
      <c r="C17" s="74">
        <f>IF(B17&lt;&gt;"",B17,1-C15-C16)</f>
        <v>0.1</v>
      </c>
      <c r="D17" s="75">
        <f>C17*B5</f>
        <v>400</v>
      </c>
      <c r="E17" s="11"/>
      <c r="F17" s="81"/>
      <c r="G17" s="6"/>
      <c r="H17" s="81"/>
      <c r="I17" s="6"/>
      <c r="J17" s="6"/>
      <c r="K17" s="6"/>
    </row>
    <row r="18" ht="13.55" customHeight="1">
      <c r="A18" t="s" s="69">
        <v>53</v>
      </c>
      <c r="B18" s="82"/>
      <c r="C18" s="83">
        <f>SUM(C15:C17)</f>
        <v>1</v>
      </c>
      <c r="D18" s="84">
        <f>B5</f>
        <v>4000</v>
      </c>
      <c r="E18" s="11"/>
      <c r="F18" s="6"/>
      <c r="G18" s="6"/>
      <c r="H18" s="6"/>
      <c r="I18" s="6"/>
      <c r="J18" s="6"/>
      <c r="K18" s="6"/>
    </row>
    <row r="19" ht="15.75" customHeight="1">
      <c r="A19" s="85"/>
      <c r="B19" s="6"/>
      <c r="C19" s="81"/>
      <c r="D19" s="81"/>
      <c r="E19" s="6"/>
      <c r="F19" s="6"/>
      <c r="G19" s="6"/>
      <c r="H19" s="6"/>
      <c r="I19" s="6"/>
      <c r="J19" s="6"/>
      <c r="K19" s="6"/>
    </row>
    <row r="20" ht="18" customHeight="1">
      <c r="A20" t="s" s="86">
        <v>54</v>
      </c>
      <c r="B20" s="6"/>
      <c r="C20" s="6"/>
      <c r="D20" s="6"/>
      <c r="E20" s="6"/>
      <c r="F20" s="6"/>
      <c r="G20" s="6"/>
      <c r="H20" s="6"/>
      <c r="I20" s="6"/>
      <c r="J20" s="6"/>
      <c r="K20" s="6"/>
    </row>
    <row r="21" ht="13.55" customHeight="1">
      <c r="A21" t="s" s="87">
        <v>55</v>
      </c>
      <c r="B21" s="26"/>
      <c r="C21" s="6"/>
      <c r="D21" s="6"/>
      <c r="E21" s="6"/>
      <c r="F21" s="6"/>
      <c r="G21" s="6"/>
      <c r="H21" s="6"/>
      <c r="I21" s="6"/>
      <c r="J21" s="6"/>
      <c r="K21" s="6"/>
    </row>
    <row r="22" ht="15.75" customHeight="1">
      <c r="A22" t="s" s="88">
        <v>56</v>
      </c>
      <c r="B22" t="s" s="89">
        <f>IF((G28-D31)&lt;0,"NB! Praeguse eelarve järgi sündmuse kulud ületavad tulusid. Täienda eelarvet!","")</f>
      </c>
      <c r="C22" s="67"/>
      <c r="D22" s="67"/>
      <c r="E22" s="67"/>
      <c r="F22" s="67"/>
      <c r="G22" s="67"/>
      <c r="H22" s="67"/>
      <c r="I22" s="67"/>
      <c r="J22" s="67"/>
      <c r="K22" s="67"/>
    </row>
    <row r="23" ht="34.5" customHeight="1">
      <c r="A23" t="s" s="90">
        <v>57</v>
      </c>
      <c r="B23" t="s" s="51">
        <v>58</v>
      </c>
      <c r="C23" t="s" s="91">
        <v>59</v>
      </c>
      <c r="D23" t="s" s="51">
        <v>60</v>
      </c>
      <c r="E23" t="s" s="92">
        <v>61</v>
      </c>
      <c r="F23" t="s" s="92">
        <v>62</v>
      </c>
      <c r="G23" t="s" s="72">
        <v>58</v>
      </c>
      <c r="H23" t="s" s="93">
        <v>59</v>
      </c>
      <c r="I23" t="s" s="94">
        <v>60</v>
      </c>
      <c r="J23" t="s" s="95">
        <v>61</v>
      </c>
      <c r="K23" t="s" s="95">
        <v>62</v>
      </c>
    </row>
    <row r="24" ht="14.5" customHeight="1">
      <c r="A24" t="s" s="41">
        <v>63</v>
      </c>
      <c r="B24" s="96">
        <v>216514</v>
      </c>
      <c r="C24" s="97">
        <v>8514</v>
      </c>
      <c r="D24" s="97">
        <f>B24-C24</f>
        <v>208000</v>
      </c>
      <c r="E24" s="98">
        <f>35000</f>
        <v>35000</v>
      </c>
      <c r="F24" s="98">
        <f>B24-C24-E24</f>
        <v>173000</v>
      </c>
      <c r="G24" s="99">
        <f>IF(B24&lt;&gt;"",B24,VLOOKUP('Parameetrid'!A19,'Parameetrid'!O12:Q14,3)*B5)</f>
        <v>216514</v>
      </c>
      <c r="H24" s="100">
        <f>IF(C24&lt;&gt;"",C24,IF('Parameetrid'!B19=1,G24,G24*C15))</f>
        <v>8514</v>
      </c>
      <c r="I24" s="100">
        <f>IF(D24&lt;&gt;"",D24,G24-H24)</f>
        <v>208000</v>
      </c>
      <c r="J24" s="101">
        <f>IF(E24&lt;&gt;"",E24,IF(I24&gt;0,I24*C17/SUM(C16:C17),0))</f>
        <v>35000</v>
      </c>
      <c r="K24" s="101">
        <f>IF(F24&lt;&gt;"",F24,I24-J24)</f>
        <v>173000</v>
      </c>
    </row>
    <row r="25" ht="14.5" customHeight="1">
      <c r="A25" t="s" s="41">
        <v>64</v>
      </c>
      <c r="B25" s="96">
        <v>234067</v>
      </c>
      <c r="C25" s="97">
        <v>34067</v>
      </c>
      <c r="D25" s="97">
        <f>B25-C25</f>
        <v>200000</v>
      </c>
      <c r="E25" s="98">
        <v>25000</v>
      </c>
      <c r="F25" s="98">
        <f>B25-C25-E25</f>
        <v>175000</v>
      </c>
      <c r="G25" s="99">
        <f>IF(B25&lt;&gt;"",B25,VLOOKUP('Parameetrid'!A19,'Parameetrid'!O12:P14,2)*B5)</f>
        <v>234067</v>
      </c>
      <c r="H25" s="100">
        <f>IF(C25&lt;&gt;"",C25,G25*C15)</f>
        <v>34067</v>
      </c>
      <c r="I25" s="100">
        <f>IF(D25&lt;&gt;"",D25,G25-H25)</f>
        <v>200000</v>
      </c>
      <c r="J25" s="101">
        <f>IF(E25&lt;&gt;"",E25,C17*G25)</f>
        <v>25000</v>
      </c>
      <c r="K25" s="101">
        <f>IF(F25&lt;&gt;"",F25,I25-J25)</f>
        <v>175000</v>
      </c>
    </row>
    <row r="26" ht="14.5" customHeight="1">
      <c r="A26" t="s" s="41">
        <v>65</v>
      </c>
      <c r="B26" s="96">
        <v>25125</v>
      </c>
      <c r="C26" s="97">
        <v>2100</v>
      </c>
      <c r="D26" s="97">
        <f>B26-C26</f>
        <v>23025</v>
      </c>
      <c r="E26" s="98">
        <v>1500</v>
      </c>
      <c r="F26" s="98">
        <f>B26-C26-E26</f>
        <v>21525</v>
      </c>
      <c r="G26" s="99">
        <f>IF(B26&lt;&gt;"",B26,'Parameetrid'!K23+VLOOKUP('Parameetrid'!A19,'Parameetrid'!O12:R14,4)*B5)</f>
        <v>25125</v>
      </c>
      <c r="H26" s="100">
        <f>IF(C26&lt;&gt;"",C26,'Parameetrid'!K23+(G26-'Parameetrid'!K23)*C15)</f>
        <v>2100</v>
      </c>
      <c r="I26" s="100">
        <f>IF(D26&lt;&gt;"",D26,G26-H26)</f>
        <v>23025</v>
      </c>
      <c r="J26" s="101">
        <f>IF(E26&lt;&gt;"",E26,IF(I26&gt;0,I26*C17/SUM(C16:C17),0))</f>
        <v>1500</v>
      </c>
      <c r="K26" s="101">
        <f>IF(F26&lt;&gt;"",F26,I26-J26)</f>
        <v>21525</v>
      </c>
    </row>
    <row r="27" ht="14.5" customHeight="1">
      <c r="A27" t="s" s="41">
        <v>66</v>
      </c>
      <c r="B27" s="96">
        <v>116320</v>
      </c>
      <c r="C27" s="97">
        <v>0</v>
      </c>
      <c r="D27" s="97">
        <f>B27</f>
        <v>116320</v>
      </c>
      <c r="E27" s="98">
        <v>0</v>
      </c>
      <c r="F27" s="98">
        <f>B27</f>
        <v>116320</v>
      </c>
      <c r="G27" s="99">
        <f>B27</f>
        <v>116320</v>
      </c>
      <c r="H27" s="100">
        <f>C27</f>
        <v>0</v>
      </c>
      <c r="I27" s="100">
        <f>IF(D27&lt;&gt;"",D27,G27-H27)</f>
        <v>116320</v>
      </c>
      <c r="J27" s="101">
        <f>E27</f>
        <v>0</v>
      </c>
      <c r="K27" s="101">
        <f>IF(F27&lt;&gt;"",F27,I27-J27)</f>
        <v>116320</v>
      </c>
    </row>
    <row r="28" ht="14.5" customHeight="1">
      <c r="A28" t="s" s="102">
        <v>67</v>
      </c>
      <c r="B28" s="103">
        <f>SUM(B24:B27)</f>
        <v>592026</v>
      </c>
      <c r="C28" s="103">
        <f>SUM(C24:C27)</f>
        <v>44681</v>
      </c>
      <c r="D28" s="103">
        <f>SUM(D24:D27)</f>
        <v>547345</v>
      </c>
      <c r="E28" s="103">
        <f>SUM(E24:E27)</f>
        <v>61500</v>
      </c>
      <c r="F28" s="103">
        <f>SUM(F24:F27)</f>
        <v>485845</v>
      </c>
      <c r="G28" s="99">
        <f>G24+G25+G26+G27</f>
        <v>592026</v>
      </c>
      <c r="H28" s="99">
        <f>H24+H25+H26+H27</f>
        <v>44681</v>
      </c>
      <c r="I28" s="99">
        <f>I24+I25+I26+I27</f>
        <v>547345</v>
      </c>
      <c r="J28" s="104">
        <f>J24+J25+J26+J27</f>
        <v>61500</v>
      </c>
      <c r="K28" s="104">
        <f>K24+K25+K26+K27</f>
        <v>485845</v>
      </c>
    </row>
    <row r="29" ht="14.5" customHeight="1">
      <c r="A29" s="105"/>
      <c r="B29" s="105"/>
      <c r="C29" s="105"/>
      <c r="D29" s="106"/>
      <c r="E29" t="s" s="107">
        <v>68</v>
      </c>
      <c r="F29" s="108"/>
      <c r="G29" s="109"/>
      <c r="H29" s="81"/>
      <c r="I29" s="110"/>
      <c r="J29" t="s" s="111">
        <v>68</v>
      </c>
      <c r="K29" s="101">
        <f>IF(F29&lt;&gt;"",F29,K27)</f>
        <v>116320</v>
      </c>
    </row>
    <row r="30" ht="32" customHeight="1">
      <c r="A30" t="s" s="112">
        <v>69</v>
      </c>
      <c r="B30" t="s" s="51">
        <v>58</v>
      </c>
      <c r="C30" t="s" s="51">
        <v>70</v>
      </c>
      <c r="D30" t="s" s="94">
        <v>58</v>
      </c>
      <c r="E30" t="s" s="94">
        <v>70</v>
      </c>
      <c r="F30" s="113"/>
      <c r="G30" s="40"/>
      <c r="H30" s="40"/>
      <c r="I30" s="40"/>
      <c r="J30" s="81"/>
      <c r="K30" s="81"/>
    </row>
    <row r="31" ht="15" customHeight="1">
      <c r="A31" t="s" s="114">
        <v>71</v>
      </c>
      <c r="B31" s="115">
        <v>521242</v>
      </c>
      <c r="C31" s="115"/>
      <c r="D31" s="116">
        <f>IF(B31&lt;&gt;"",B31,211467+59*$B$5)</f>
        <v>521242</v>
      </c>
      <c r="E31" s="116">
        <f>IF(C31&lt;&gt;"",C31,IF(B31="",56.02*B5,B31*0.9))</f>
        <v>469117.8</v>
      </c>
      <c r="F31" t="s" s="25">
        <v>72</v>
      </c>
      <c r="G31" s="117"/>
      <c r="H31" s="117"/>
      <c r="I31" s="117"/>
      <c r="J31" s="26"/>
      <c r="K31" s="6"/>
    </row>
    <row r="32" ht="30.6" customHeight="1">
      <c r="A32" t="s" s="118">
        <v>73</v>
      </c>
      <c r="B32" t="s" s="51">
        <v>58</v>
      </c>
      <c r="C32" t="s" s="51">
        <v>70</v>
      </c>
      <c r="D32" t="s" s="94">
        <v>58</v>
      </c>
      <c r="E32" t="s" s="119">
        <v>70</v>
      </c>
      <c r="F32" t="s" s="120">
        <v>74</v>
      </c>
      <c r="G32" s="121"/>
      <c r="H32" s="121"/>
      <c r="I32" s="121"/>
      <c r="J32" s="26"/>
      <c r="K32" s="6"/>
    </row>
    <row r="33" ht="14.5" customHeight="1">
      <c r="A33" t="s" s="21">
        <v>75</v>
      </c>
      <c r="B33" s="122">
        <v>22300</v>
      </c>
      <c r="C33" s="122">
        <f>B33-2655</f>
        <v>19645</v>
      </c>
      <c r="D33" s="123">
        <f>IF(B33&lt;&gt;"",B33,0.058*D$31)</f>
        <v>22300</v>
      </c>
      <c r="E33" s="123">
        <f>IF(C33&lt;&gt;"",C33,0.054*E$31)</f>
        <v>19645</v>
      </c>
      <c r="F33" s="124"/>
      <c r="G33" s="64"/>
      <c r="H33" s="64"/>
      <c r="I33" s="64"/>
      <c r="J33" s="6"/>
      <c r="K33" s="6"/>
    </row>
    <row r="34" ht="14.5" customHeight="1">
      <c r="A34" t="s" s="21">
        <v>76</v>
      </c>
      <c r="B34" s="122">
        <v>11870</v>
      </c>
      <c r="C34" s="122">
        <v>11870</v>
      </c>
      <c r="D34" s="123">
        <f>IF(B34&lt;&gt;"",B34,0.098*D$31)</f>
        <v>11870</v>
      </c>
      <c r="E34" s="123">
        <f>IF(C34&lt;&gt;"",C34,0.092*E$31)</f>
        <v>11870</v>
      </c>
      <c r="F34" s="125"/>
      <c r="G34" s="6"/>
      <c r="H34" s="6"/>
      <c r="I34" s="6"/>
      <c r="J34" s="6"/>
      <c r="K34" s="6"/>
    </row>
    <row r="35" ht="14.5" customHeight="1">
      <c r="A35" t="s" s="21">
        <v>77</v>
      </c>
      <c r="B35" s="122">
        <v>9643</v>
      </c>
      <c r="C35" s="122">
        <f>B35-1126.4</f>
        <v>8516.6</v>
      </c>
      <c r="D35" s="123">
        <f>IF(B35&lt;&gt;"",B35,0.101*D$31)</f>
        <v>9643</v>
      </c>
      <c r="E35" s="123">
        <f>IF(C35&lt;&gt;"",C35,IF(B9="Ei",D35,0.096*E$31))</f>
        <v>8516.6</v>
      </c>
      <c r="F35" s="125"/>
      <c r="G35" s="6"/>
      <c r="H35" s="6"/>
      <c r="I35" s="6"/>
      <c r="J35" s="6"/>
      <c r="K35" s="6"/>
    </row>
    <row r="36" ht="14.5" customHeight="1">
      <c r="A36" t="s" s="21">
        <v>78</v>
      </c>
      <c r="B36" s="122">
        <v>0</v>
      </c>
      <c r="C36" s="122"/>
      <c r="D36" s="123">
        <f>IF(B36&lt;&gt;"",B36,0.089*D$31)</f>
        <v>0</v>
      </c>
      <c r="E36" s="123">
        <f>IF(C36&lt;&gt;"",C36,0.081*E$31)</f>
        <v>37998.5418</v>
      </c>
      <c r="F36" s="126"/>
      <c r="G36" s="40"/>
      <c r="H36" s="40"/>
      <c r="I36" s="40"/>
      <c r="J36" s="6"/>
      <c r="K36" s="6"/>
    </row>
    <row r="37" ht="29" customHeight="1">
      <c r="A37" t="s" s="127">
        <v>79</v>
      </c>
      <c r="B37" s="122">
        <v>191550</v>
      </c>
      <c r="C37" s="122"/>
      <c r="D37" s="123">
        <f>IF(B37&lt;&gt;"",B37,0.323*D$31)</f>
        <v>191550</v>
      </c>
      <c r="E37" s="123">
        <f>IF(C37&lt;&gt;"",C37,0.311*E$31)</f>
        <v>145895.6358</v>
      </c>
      <c r="F37" t="s" s="128">
        <v>80</v>
      </c>
      <c r="G37" s="129"/>
      <c r="H37" s="129"/>
      <c r="I37" s="129"/>
      <c r="J37" s="26"/>
      <c r="K37" s="6"/>
    </row>
    <row r="38" ht="14.5" customHeight="1">
      <c r="A38" t="s" s="21">
        <v>81</v>
      </c>
      <c r="B38" s="122">
        <f>B31-B33-B34-B35-B37</f>
        <v>285879</v>
      </c>
      <c r="C38" s="122">
        <f>B38-12000</f>
        <v>273879</v>
      </c>
      <c r="D38" s="123">
        <f>IF(B38&lt;&gt;"",B38,D31-SUM(D33:D37))</f>
        <v>285879</v>
      </c>
      <c r="E38" s="123">
        <f>IF(C38&lt;&gt;"",C38,E31-SUM(E33:E37))</f>
        <v>273879</v>
      </c>
      <c r="F38" t="s" s="49">
        <v>82</v>
      </c>
      <c r="G38" s="50"/>
      <c r="H38" s="50"/>
      <c r="I38" s="50"/>
      <c r="J38" s="26"/>
      <c r="K38" s="6"/>
    </row>
    <row r="39" ht="13.55" customHeight="1">
      <c r="A39" s="110"/>
      <c r="B39" t="s" s="130">
        <f>IF(SUM(D33:D38)=D31,"Mudel võtab arvesse iga kulurida","Mudel kuluridu ei arvesta, sest summa ei klapi")</f>
        <v>83</v>
      </c>
      <c r="C39" s="131"/>
      <c r="D39" s="109"/>
      <c r="E39" s="81"/>
      <c r="F39" s="64"/>
      <c r="G39" s="64"/>
      <c r="H39" s="64"/>
      <c r="I39" s="64"/>
      <c r="J39" s="6"/>
      <c r="K39" s="6"/>
    </row>
    <row r="40" ht="15.75" customHeight="1">
      <c r="A40" t="s" s="132">
        <v>84</v>
      </c>
      <c r="B40" s="66"/>
      <c r="C40" s="105"/>
      <c r="D40" s="40"/>
      <c r="E40" s="40"/>
      <c r="F40" s="40"/>
      <c r="G40" s="40"/>
      <c r="H40" s="40"/>
      <c r="I40" s="40"/>
      <c r="J40" s="6"/>
      <c r="K40" s="6"/>
    </row>
    <row r="41" ht="13.55" customHeight="1">
      <c r="A41" t="s" s="133">
        <v>85</v>
      </c>
      <c r="B41" s="134">
        <v>160</v>
      </c>
      <c r="C41" s="135">
        <f>IF(B41&lt;&gt;"",B41,E37*'sots_arvutused'!L2/'Parameetrid'!O16)</f>
        <v>160</v>
      </c>
      <c r="D41" t="s" s="25">
        <v>86</v>
      </c>
      <c r="E41" s="117"/>
      <c r="F41" s="117"/>
      <c r="G41" s="117"/>
      <c r="H41" s="117"/>
      <c r="I41" s="117"/>
      <c r="J41" s="26"/>
      <c r="K41" s="6"/>
    </row>
    <row r="42" ht="13.55" customHeight="1">
      <c r="A42" t="s" s="133">
        <v>87</v>
      </c>
      <c r="B42" s="136">
        <v>200</v>
      </c>
      <c r="C42" s="137">
        <f>IF(B42&lt;&gt;"",B42,'sots_arvutused'!L9*'sots_arvutused'!L1)</f>
        <v>200</v>
      </c>
      <c r="D42" t="s" s="49">
        <v>88</v>
      </c>
      <c r="E42" s="50"/>
      <c r="F42" s="50"/>
      <c r="G42" s="50"/>
      <c r="H42" s="50"/>
      <c r="I42" s="50"/>
      <c r="J42" s="26"/>
      <c r="K42" s="6"/>
    </row>
    <row r="43" ht="13.55" customHeight="1">
      <c r="A43" s="81"/>
      <c r="B43" s="81"/>
      <c r="C43" s="81"/>
      <c r="D43" s="64"/>
      <c r="E43" s="64"/>
      <c r="F43" s="64"/>
      <c r="G43" s="64"/>
      <c r="H43" s="64"/>
      <c r="I43" s="64"/>
      <c r="J43" s="6"/>
      <c r="K43" s="6"/>
    </row>
    <row r="44" ht="15.75" customHeight="1">
      <c r="A44" t="s" s="138">
        <v>89</v>
      </c>
      <c r="B44" s="67"/>
      <c r="C44" s="67"/>
      <c r="D44" s="6"/>
      <c r="E44" s="6"/>
      <c r="F44" s="6"/>
      <c r="G44" s="6"/>
      <c r="H44" s="6"/>
      <c r="I44" s="6"/>
      <c r="J44" s="6"/>
      <c r="K44" s="6"/>
    </row>
    <row r="45" ht="13.55" customHeight="1">
      <c r="A45" t="s" s="139">
        <v>90</v>
      </c>
      <c r="B45" t="s" s="140">
        <v>37</v>
      </c>
      <c r="C45" t="s" s="141">
        <f>IF(B45&lt;&gt;"",B45,VLOOKUP('Parameetrid'!B35,'Parameetrid'!O31:P38,2,FALSE))</f>
        <v>37</v>
      </c>
      <c r="D45" s="11"/>
      <c r="E45" s="6"/>
      <c r="F45" s="6"/>
      <c r="G45" s="6"/>
      <c r="H45" s="6"/>
      <c r="I45" s="6"/>
      <c r="J45" s="6"/>
      <c r="K45" s="6"/>
    </row>
    <row r="46" ht="13.55" customHeight="1">
      <c r="A46" t="s" s="139">
        <v>91</v>
      </c>
      <c r="B46" t="s" s="140">
        <v>92</v>
      </c>
      <c r="C46" t="s" s="141">
        <f>IF(B46&lt;&gt;"",B46,VLOOKUP('Parameetrid'!B35,'Parameetrid'!O31:P38,2,FALSE))</f>
        <v>92</v>
      </c>
      <c r="D46" s="11"/>
      <c r="E46" s="6"/>
      <c r="F46" s="6"/>
      <c r="G46" s="6"/>
      <c r="H46" s="6"/>
      <c r="I46" s="6"/>
      <c r="J46" s="6"/>
      <c r="K46" s="6"/>
    </row>
    <row r="47" ht="13.55" customHeight="1">
      <c r="A47" t="s" s="142">
        <v>93</v>
      </c>
      <c r="B47" s="143"/>
      <c r="C47" s="144">
        <f>D35-E35</f>
        <v>1126.4</v>
      </c>
      <c r="D47" s="145"/>
      <c r="E47" s="6"/>
      <c r="F47" s="6"/>
      <c r="G47" s="6"/>
      <c r="H47" s="6"/>
      <c r="I47" s="6"/>
      <c r="J47" s="6"/>
      <c r="K47" s="6"/>
    </row>
    <row r="48" ht="13.55" customHeight="1">
      <c r="A48" t="s" s="146">
        <v>94</v>
      </c>
      <c r="B48" s="147"/>
      <c r="C48" s="144">
        <f>E35</f>
        <v>8516.6</v>
      </c>
      <c r="D48" s="148"/>
      <c r="E48" s="40"/>
      <c r="F48" s="40"/>
      <c r="G48" s="40"/>
      <c r="H48" s="40"/>
      <c r="I48" s="40"/>
      <c r="J48" s="6"/>
      <c r="K48" s="6"/>
    </row>
    <row r="49" ht="13.55" customHeight="1">
      <c r="A49" t="s" s="133">
        <v>95</v>
      </c>
      <c r="B49" s="149"/>
      <c r="C49" s="150">
        <f>IF(B49&lt;&gt;"",B49,VLOOKUP(B10,'Parameetrid'!V49:W56,2,FALSE)*D15*'Parameetrid'!W47)</f>
        <v>76.992</v>
      </c>
      <c r="D49" t="s" s="25">
        <v>96</v>
      </c>
      <c r="E49" s="117"/>
      <c r="F49" s="117"/>
      <c r="G49" s="117"/>
      <c r="H49" s="117"/>
      <c r="I49" s="117"/>
      <c r="J49" s="26"/>
      <c r="K49" s="6"/>
    </row>
    <row r="50" ht="13.55" customHeight="1">
      <c r="A50" t="s" s="139">
        <v>97</v>
      </c>
      <c r="B50" s="149">
        <v>8000</v>
      </c>
      <c r="C50" s="150">
        <f>IF(B50&lt;&gt;"",B50,'Parameetrid'!B41)</f>
        <v>8000</v>
      </c>
      <c r="D50" t="s" s="25">
        <v>98</v>
      </c>
      <c r="E50" s="117"/>
      <c r="F50" s="117"/>
      <c r="G50" s="117"/>
      <c r="H50" s="117"/>
      <c r="I50" s="117"/>
      <c r="J50" s="26"/>
      <c r="K50" s="6"/>
    </row>
    <row r="51" ht="13.55" customHeight="1">
      <c r="A51" t="s" s="139">
        <v>99</v>
      </c>
      <c r="B51" t="s" s="140">
        <v>100</v>
      </c>
      <c r="C51" t="s" s="141">
        <f>IF(B51&lt;&gt;"",B51,IF(B7="Osaluspõhine spordisündmus",0,VLOOKUP(C46,'Parameetrid'!J15:L22,3,FALSE)))</f>
        <v>100</v>
      </c>
      <c r="D51" t="s" s="151">
        <f>IF(B7="Osaluspõhine spordisündmus","Pole vaja sisestada.","Rahvusvaheliselt tuntud esinejate või võistlejate jälgijaskond Instagramis, Facebookis ja TikTokis (kokku)")</f>
        <v>101</v>
      </c>
      <c r="E51" s="152"/>
      <c r="F51" s="152"/>
      <c r="G51" s="152"/>
      <c r="H51" s="152"/>
      <c r="I51" s="152"/>
      <c r="J51" s="26"/>
      <c r="K51" s="6"/>
    </row>
    <row r="52" ht="26.55" customHeight="1">
      <c r="A52" t="s" s="139">
        <v>102</v>
      </c>
      <c r="B52" t="s" s="153">
        <v>103</v>
      </c>
      <c r="C52" t="s" s="94">
        <f>IF(B52&lt;&gt;"",B52,"Eestisisesed")</f>
        <v>103</v>
      </c>
      <c r="D52" s="63"/>
      <c r="E52" s="64"/>
      <c r="F52" s="64"/>
      <c r="G52" s="64"/>
      <c r="H52" s="64"/>
      <c r="I52" s="64"/>
      <c r="J52" s="6"/>
      <c r="K52" s="6"/>
    </row>
    <row r="53" ht="13.55" customHeight="1">
      <c r="A53" s="81"/>
      <c r="B53" s="81"/>
      <c r="C53" s="81"/>
      <c r="D53" s="6"/>
      <c r="E53" s="6"/>
      <c r="F53" s="6"/>
      <c r="G53" s="6"/>
      <c r="H53" s="6"/>
      <c r="I53" s="6"/>
      <c r="J53" s="6"/>
      <c r="K53" s="6"/>
    </row>
    <row r="54" ht="13.55" customHeight="1">
      <c r="A54" s="6"/>
      <c r="B54" s="6"/>
      <c r="C54" s="6"/>
      <c r="D54" s="6"/>
      <c r="E54" s="6"/>
      <c r="F54" s="6"/>
      <c r="G54" s="6"/>
      <c r="H54" s="6"/>
      <c r="I54" s="6"/>
      <c r="J54" s="6"/>
      <c r="K54" s="6"/>
    </row>
    <row r="55" ht="13.55" customHeight="1">
      <c r="A55" s="6"/>
      <c r="B55" s="6"/>
      <c r="C55" s="6"/>
      <c r="D55" s="6"/>
      <c r="E55" s="6"/>
      <c r="F55" s="6"/>
      <c r="G55" s="6"/>
      <c r="H55" s="6"/>
      <c r="I55" s="6"/>
      <c r="J55" s="6"/>
      <c r="K55" s="6"/>
    </row>
    <row r="56" ht="13.55" customHeight="1">
      <c r="A56" s="6"/>
      <c r="B56" s="6"/>
      <c r="C56" s="6"/>
      <c r="D56" s="6"/>
      <c r="E56" s="6"/>
      <c r="F56" s="6"/>
      <c r="G56" s="6"/>
      <c r="H56" s="6"/>
      <c r="I56" s="6"/>
      <c r="J56" s="6"/>
      <c r="K56" s="6"/>
    </row>
    <row r="57" ht="13.55" customHeight="1">
      <c r="A57" s="6"/>
      <c r="B57" s="6"/>
      <c r="C57" s="6"/>
      <c r="D57" s="6"/>
      <c r="E57" s="6"/>
      <c r="F57" s="6"/>
      <c r="G57" s="6"/>
      <c r="H57" s="6"/>
      <c r="I57" s="6"/>
      <c r="J57" s="6"/>
      <c r="K57" s="6"/>
    </row>
    <row r="58" ht="13.55" customHeight="1">
      <c r="A58" s="6"/>
      <c r="B58" s="6"/>
      <c r="C58" s="6"/>
      <c r="D58" s="6"/>
      <c r="E58" s="6"/>
      <c r="F58" s="6"/>
      <c r="G58" s="6"/>
      <c r="H58" s="6"/>
      <c r="I58" s="6"/>
      <c r="J58" s="6"/>
      <c r="K58" s="6"/>
    </row>
    <row r="59" ht="13.55" customHeight="1">
      <c r="A59" s="6"/>
      <c r="B59" s="6"/>
      <c r="C59" s="6"/>
      <c r="D59" s="6"/>
      <c r="E59" s="6"/>
      <c r="F59" s="6"/>
      <c r="G59" s="6"/>
      <c r="H59" s="6"/>
      <c r="I59" s="6"/>
      <c r="J59" s="6"/>
      <c r="K59" s="6"/>
    </row>
    <row r="60" ht="13.55" customHeight="1">
      <c r="A60" s="6"/>
      <c r="B60" s="6"/>
      <c r="C60" s="6"/>
      <c r="D60" s="6"/>
      <c r="E60" s="6"/>
      <c r="F60" s="6"/>
      <c r="G60" s="6"/>
      <c r="H60" s="6"/>
      <c r="I60" s="6"/>
      <c r="J60" s="6"/>
      <c r="K60" s="6"/>
    </row>
  </sheetData>
  <mergeCells count="14">
    <mergeCell ref="A1:F1"/>
    <mergeCell ref="B39:C39"/>
    <mergeCell ref="B4:F4"/>
    <mergeCell ref="F32:I32"/>
    <mergeCell ref="F37:I37"/>
    <mergeCell ref="C8:F8"/>
    <mergeCell ref="F31:I31"/>
    <mergeCell ref="B22:E22"/>
    <mergeCell ref="C5:F5"/>
    <mergeCell ref="D41:I41"/>
    <mergeCell ref="D51:I51"/>
    <mergeCell ref="A47:B47"/>
    <mergeCell ref="A48:B48"/>
    <mergeCell ref="D42:I42"/>
  </mergeCells>
  <conditionalFormatting sqref="C8:F8">
    <cfRule type="cellIs" dxfId="1" priority="1" operator="equal" stopIfTrue="1">
      <formula>"NB! Alla 5000 elanikuga KOV-ide puhul ei prognoosi mudel sündmusi usaldusväärselt"</formula>
    </cfRule>
  </conditionalFormatting>
  <conditionalFormatting sqref="C15:C16">
    <cfRule type="cellIs" dxfId="2" priority="1" operator="lessThan" stopIfTrue="1">
      <formula>0</formula>
    </cfRule>
  </conditionalFormatting>
  <conditionalFormatting sqref="C17">
    <cfRule type="cellIs" dxfId="3" priority="1" operator="lessThan" stopIfTrue="1">
      <formula>0</formula>
    </cfRule>
  </conditionalFormatting>
  <conditionalFormatting sqref="C18">
    <cfRule type="cellIs" dxfId="4" priority="1" operator="notEqual" stopIfTrue="1">
      <formula>1</formula>
    </cfRule>
  </conditionalFormatting>
  <conditionalFormatting sqref="B22">
    <cfRule type="containsText" dxfId="5" priority="1" stopIfTrue="1" text="NB! Praeguse eelarve järgi sündmuse kulud ületavad tulusid. Täienda eelarvet!">
      <formula>NOT(ISERROR(FIND(UPPER("NB! Praeguse eelarve järgi sündmuse kulud ületavad tulusid. Täienda eelarvet!"),UPPER(B22))))</formula>
      <formula>"NB! Praeguse eelarve järgi sündmuse kulud ületavad tulusid. Täienda eelarvet!"</formula>
    </cfRule>
  </conditionalFormatting>
  <dataValidations count="9">
    <dataValidation type="list" allowBlank="1" showInputMessage="1" showErrorMessage="1" sqref="B7">
      <formula1>"Kultuurisündmus,Osaluspõhine spordisündmus,Vaatajakeskne spordisündmus"</formula1>
    </dataValidation>
    <dataValidation type="list" allowBlank="1" showInputMessage="1" showErrorMessage="1" sqref="B8">
      <formula1>"Alutaguse vald,Anija vald,Antsla vald,Elva vald,Häädemeeste vald,Haapsalu linn,Haljala vald,Harku vald,Hiiumaa vald,Järva vald,Jõelähtme vald,Jõgeva vald,Jõhvi vald,Kadrina vald,Kambja vald,Kanepi vald,Kastre vald,Kehtna vald,Keila linn,Kihnu vald"</formula1>
    </dataValidation>
    <dataValidation type="list" allowBlank="1" showInputMessage="1" showErrorMessage="1" sqref="B9">
      <formula1>"Jah,Ei"</formula1>
    </dataValidation>
    <dataValidation type="list" allowBlank="1" showInputMessage="1" showErrorMessage="1" sqref="B10">
      <formula1>"Teleülekanne puudub,Kohaliku tähtsusega,Üle-eestilise tähtsusega,Oluline ühes sihtriigis,Oluline mitmes sihtriigis,Oluline Läänemere regioonis,Üle-Euroopalise tähtsusega,Ülemaailmse tähtsusega"</formula1>
    </dataValidation>
    <dataValidation type="list" allowBlank="1" showInputMessage="1" showErrorMessage="1" sqref="B11">
      <formula1>"Jaanuar,Veebruar,Märts,Aprill,Mai,Juuni,Juuli,August,September,Oktoober,November,Detsember"</formula1>
    </dataValidation>
    <dataValidation type="list" allowBlank="1" showInputMessage="1" showErrorMessage="1" sqref="B12">
      <formula1>"Staadion,Spordi- või kontserthall,Maastik,Avatud linnaruum"</formula1>
    </dataValidation>
    <dataValidation type="list" allowBlank="1" showInputMessage="1" showErrorMessage="1" sqref="B45:B46">
      <formula1>"Kohaliku tähtsusega,Üle-eestilise tähtsusega,Oluline ühes sihtriigis,Oluline mitmes sihtriigis,Oluline Läänemere regioonis,Üle-Euroopalise tähtsusega,Ülemaailmse tähtsusega"</formula1>
    </dataValidation>
    <dataValidation type="list" allowBlank="1" showInputMessage="1" showErrorMessage="1" sqref="B51">
      <formula1>"Alla 10 000,Üle 10 000,Üle 50 000,Üle 100 000,Üle 1 000 000,Üle 10 000 000"</formula1>
    </dataValidation>
    <dataValidation type="list" allowBlank="1" showInputMessage="1" showErrorMessage="1" sqref="B52">
      <formula1>"Puuduvad,Eestisisesed,Rahvusvahelised (sh Eestisisesed)"</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U46"/>
  <sheetViews>
    <sheetView workbookViewId="0" showGridLines="0" defaultGridColor="1"/>
  </sheetViews>
  <sheetFormatPr defaultColWidth="8.83333" defaultRowHeight="14.25" customHeight="1" outlineLevelRow="0" outlineLevelCol="0"/>
  <cols>
    <col min="1" max="1" width="45.8516" style="154" customWidth="1"/>
    <col min="2" max="2" width="15.8516" style="154" customWidth="1"/>
    <col min="3" max="3" width="26.8516" style="154" customWidth="1"/>
    <col min="4" max="4" width="24.8516" style="154" customWidth="1"/>
    <col min="5" max="14" width="15.8516" style="154" customWidth="1"/>
    <col min="15" max="15" width="12.8516" style="154" customWidth="1"/>
    <col min="16" max="21" width="8.85156" style="154" customWidth="1"/>
    <col min="22" max="16384" width="8.85156" style="154" customWidth="1"/>
  </cols>
  <sheetData>
    <row r="1" ht="45.6" customHeight="1">
      <c r="A1" t="s" s="155">
        <v>104</v>
      </c>
      <c r="B1" s="156"/>
      <c r="C1" s="156"/>
      <c r="D1" s="156"/>
      <c r="E1" s="156"/>
      <c r="F1" s="157"/>
      <c r="G1" s="6"/>
      <c r="H1" s="6"/>
      <c r="I1" s="6"/>
      <c r="J1" s="6"/>
      <c r="K1" s="6"/>
      <c r="L1" s="6"/>
      <c r="M1" s="6"/>
      <c r="N1" s="6"/>
      <c r="O1" s="6"/>
      <c r="P1" s="6"/>
      <c r="Q1" s="6"/>
      <c r="R1" s="6"/>
      <c r="S1" s="6"/>
      <c r="T1" s="6"/>
      <c r="U1" s="6"/>
    </row>
    <row r="2" ht="31.35" customHeight="1">
      <c r="A2" t="s" s="158">
        <f>'Sisend'!B4</f>
        <v>105</v>
      </c>
      <c r="B2" s="159"/>
      <c r="C2" s="159"/>
      <c r="D2" s="159"/>
      <c r="E2" s="159"/>
      <c r="F2" s="26"/>
      <c r="G2" s="6"/>
      <c r="H2" s="6"/>
      <c r="I2" s="6"/>
      <c r="J2" s="6"/>
      <c r="K2" s="6"/>
      <c r="L2" s="6"/>
      <c r="M2" s="6"/>
      <c r="N2" s="6"/>
      <c r="O2" s="6"/>
      <c r="P2" s="6"/>
      <c r="Q2" s="6"/>
      <c r="R2" s="6"/>
      <c r="S2" s="6"/>
      <c r="T2" s="6"/>
      <c r="U2" s="6"/>
    </row>
    <row r="3" ht="15.6" customHeight="1">
      <c r="A3" t="s" s="160">
        <v>106</v>
      </c>
      <c r="B3" s="161"/>
      <c r="C3" s="161"/>
      <c r="D3" t="s" s="162">
        <v>107</v>
      </c>
      <c r="E3" t="s" s="163">
        <v>108</v>
      </c>
      <c r="F3" s="26"/>
      <c r="G3" s="164"/>
      <c r="H3" s="6"/>
      <c r="I3" s="6"/>
      <c r="J3" s="6"/>
      <c r="K3" s="6"/>
      <c r="L3" s="6"/>
      <c r="M3" s="6"/>
      <c r="N3" s="6"/>
      <c r="O3" s="6"/>
      <c r="P3" s="6"/>
      <c r="Q3" s="6"/>
      <c r="R3" s="6"/>
      <c r="S3" s="6"/>
      <c r="T3" s="6"/>
      <c r="U3" s="6"/>
    </row>
    <row r="4" ht="16.35" customHeight="1">
      <c r="A4" t="s" s="165">
        <v>109</v>
      </c>
      <c r="B4" s="166">
        <f>IF(B5="pole arvutatav",B6+1,AVERAGE(B5,B6))</f>
        <v>2.18110235326791</v>
      </c>
      <c r="C4" t="s" s="167">
        <f>IF(B4&gt;E4,D4,IF(B4&gt;E5,D5,IF(B4&gt;E6,D6,IF(B4&gt;E7,D7,D8))))</f>
        <v>110</v>
      </c>
      <c r="D4" t="s" s="168">
        <v>111</v>
      </c>
      <c r="E4" s="169">
        <v>5</v>
      </c>
      <c r="F4" t="s" s="170">
        <v>112</v>
      </c>
      <c r="G4" s="171"/>
      <c r="H4" s="172"/>
      <c r="I4" s="6"/>
      <c r="J4" s="6"/>
      <c r="K4" s="6"/>
      <c r="L4" s="6"/>
      <c r="M4" s="6"/>
      <c r="N4" s="6"/>
      <c r="O4" s="6"/>
      <c r="P4" s="6"/>
      <c r="Q4" s="6"/>
      <c r="R4" s="6"/>
      <c r="S4" s="6"/>
      <c r="T4" s="6"/>
      <c r="U4" s="6"/>
    </row>
    <row r="5" ht="16.35" customHeight="1">
      <c r="A5" t="s" s="173">
        <v>113</v>
      </c>
      <c r="B5" s="174">
        <f>B28</f>
        <v>0.362204706535817</v>
      </c>
      <c r="C5" s="175"/>
      <c r="D5" t="s" s="176">
        <v>114</v>
      </c>
      <c r="E5" s="177">
        <v>3</v>
      </c>
      <c r="F5" t="s" s="170">
        <v>112</v>
      </c>
      <c r="G5" s="171"/>
      <c r="H5" s="172"/>
      <c r="I5" s="6"/>
      <c r="J5" s="6"/>
      <c r="K5" s="6"/>
      <c r="L5" s="6"/>
      <c r="M5" s="6"/>
      <c r="N5" s="6"/>
      <c r="O5" s="6"/>
      <c r="P5" s="6"/>
      <c r="Q5" s="6"/>
      <c r="R5" s="6"/>
      <c r="S5" s="6"/>
      <c r="T5" s="6"/>
      <c r="U5" s="6"/>
    </row>
    <row r="6" ht="16.35" customHeight="1">
      <c r="A6" t="s" s="178">
        <v>115</v>
      </c>
      <c r="B6" s="179">
        <f>B35</f>
        <v>4</v>
      </c>
      <c r="C6" t="s" s="180">
        <f>C35</f>
        <v>116</v>
      </c>
      <c r="D6" t="s" s="176">
        <v>117</v>
      </c>
      <c r="E6" s="177">
        <v>1</v>
      </c>
      <c r="F6" t="s" s="170">
        <v>112</v>
      </c>
      <c r="G6" s="171"/>
      <c r="H6" s="172"/>
      <c r="I6" s="6"/>
      <c r="J6" s="6"/>
      <c r="K6" s="6"/>
      <c r="L6" s="6"/>
      <c r="M6" s="6"/>
      <c r="N6" s="6"/>
      <c r="O6" s="6"/>
      <c r="P6" s="6"/>
      <c r="Q6" s="6"/>
      <c r="R6" s="6"/>
      <c r="S6" s="6"/>
      <c r="T6" s="6"/>
      <c r="U6" s="6"/>
    </row>
    <row r="7" ht="16.35" customHeight="1">
      <c r="A7" t="s" s="181">
        <v>118</v>
      </c>
      <c r="B7" s="182">
        <f>'Parameetrid'!M38</f>
        <v>-1</v>
      </c>
      <c r="C7" s="183"/>
      <c r="D7" t="s" s="176">
        <v>119</v>
      </c>
      <c r="E7" s="177">
        <v>0</v>
      </c>
      <c r="F7" t="s" s="170">
        <v>112</v>
      </c>
      <c r="G7" s="171"/>
      <c r="H7" s="172"/>
      <c r="I7" s="6"/>
      <c r="J7" s="6"/>
      <c r="K7" s="6"/>
      <c r="L7" s="6"/>
      <c r="M7" s="6"/>
      <c r="N7" s="6"/>
      <c r="O7" s="6"/>
      <c r="P7" s="6"/>
      <c r="Q7" s="6"/>
      <c r="R7" s="6"/>
      <c r="S7" s="6"/>
      <c r="T7" s="6"/>
      <c r="U7" s="6"/>
    </row>
    <row r="8" ht="14.25" customHeight="1">
      <c r="A8" t="s" s="184">
        <f>IF(('Sisend'!G28-'Sisend'!D31)&lt;0,"NB! Praeguse eelarve järgi sündmuse kulud ületavad tulusid. Täienda eelarvet!","")</f>
      </c>
      <c r="B8" s="185"/>
      <c r="C8" s="186"/>
      <c r="D8" t="s" s="176">
        <v>120</v>
      </c>
      <c r="E8" s="187">
        <f>E7</f>
        <v>0</v>
      </c>
      <c r="F8" t="s" s="188">
        <v>121</v>
      </c>
      <c r="G8" s="40"/>
      <c r="H8" s="40"/>
      <c r="I8" s="40"/>
      <c r="J8" s="40"/>
      <c r="K8" s="6"/>
      <c r="L8" s="6"/>
      <c r="M8" s="6"/>
      <c r="N8" s="6"/>
      <c r="O8" s="6"/>
      <c r="P8" s="6"/>
      <c r="Q8" s="6"/>
      <c r="R8" s="6"/>
      <c r="S8" s="6"/>
      <c r="T8" s="6"/>
      <c r="U8" s="6"/>
    </row>
    <row r="9" ht="18" customHeight="1">
      <c r="A9" t="s" s="189">
        <v>122</v>
      </c>
      <c r="B9" t="s" s="190">
        <v>123</v>
      </c>
      <c r="C9" s="191"/>
      <c r="D9" s="191"/>
      <c r="E9" s="50"/>
      <c r="F9" s="50"/>
      <c r="G9" s="50"/>
      <c r="H9" s="50"/>
      <c r="I9" s="50"/>
      <c r="J9" s="50"/>
      <c r="K9" s="26"/>
      <c r="L9" s="6"/>
      <c r="M9" s="6"/>
      <c r="N9" s="6"/>
      <c r="O9" s="6"/>
      <c r="P9" s="6"/>
      <c r="Q9" s="6"/>
      <c r="R9" s="6"/>
      <c r="S9" s="6"/>
      <c r="T9" s="6"/>
      <c r="U9" s="6"/>
    </row>
    <row r="10" ht="29" customHeight="1">
      <c r="A10" t="s" s="192">
        <v>124</v>
      </c>
      <c r="B10" t="s" s="51">
        <v>125</v>
      </c>
      <c r="C10" t="s" s="51">
        <v>126</v>
      </c>
      <c r="D10" t="s" s="51">
        <v>127</v>
      </c>
      <c r="E10" t="s" s="193">
        <v>128</v>
      </c>
      <c r="F10" s="50"/>
      <c r="G10" s="194"/>
      <c r="H10" s="50"/>
      <c r="I10" s="50"/>
      <c r="J10" s="50"/>
      <c r="K10" s="26"/>
      <c r="L10" s="6"/>
      <c r="M10" s="6"/>
      <c r="N10" s="6"/>
      <c r="O10" s="6"/>
      <c r="P10" s="6"/>
      <c r="Q10" s="6"/>
      <c r="R10" s="6"/>
      <c r="S10" s="6"/>
      <c r="T10" s="6"/>
      <c r="U10" s="6"/>
    </row>
    <row r="11" ht="14.75" customHeight="1">
      <c r="A11" t="s" s="69">
        <v>129</v>
      </c>
      <c r="B11" s="195">
        <f>'maj_arvutused'!U26</f>
        <v>184113.628878316</v>
      </c>
      <c r="C11" s="195">
        <f>B44</f>
        <v>62327.6226069727</v>
      </c>
      <c r="D11" s="195">
        <f>B11+C11</f>
        <v>246441.251485289</v>
      </c>
      <c r="E11" t="s" s="193">
        <v>130</v>
      </c>
      <c r="F11" s="50"/>
      <c r="G11" s="194"/>
      <c r="H11" s="50"/>
      <c r="I11" s="50"/>
      <c r="J11" s="50"/>
      <c r="K11" s="26"/>
      <c r="L11" s="6"/>
      <c r="M11" s="6"/>
      <c r="N11" s="6"/>
      <c r="O11" s="6"/>
      <c r="P11" s="6"/>
      <c r="Q11" s="6"/>
      <c r="R11" s="6"/>
      <c r="S11" s="6"/>
      <c r="T11" s="6"/>
      <c r="U11" s="6"/>
    </row>
    <row r="12" ht="14.25" customHeight="1">
      <c r="A12" t="s" s="21">
        <v>131</v>
      </c>
      <c r="B12" s="196">
        <f>'maj_arvutused'!S26</f>
        <v>73352.043377815105</v>
      </c>
      <c r="C12" s="196"/>
      <c r="D12" s="196"/>
      <c r="E12" t="s" s="25">
        <v>132</v>
      </c>
      <c r="F12" s="50"/>
      <c r="G12" s="194"/>
      <c r="H12" s="50"/>
      <c r="I12" s="50"/>
      <c r="J12" s="50"/>
      <c r="K12" s="26"/>
      <c r="L12" s="6"/>
      <c r="M12" s="6"/>
      <c r="N12" s="6"/>
      <c r="O12" s="6"/>
      <c r="P12" s="6"/>
      <c r="Q12" s="6"/>
      <c r="R12" s="6"/>
      <c r="S12" s="6"/>
      <c r="T12" s="6"/>
      <c r="U12" s="6"/>
    </row>
    <row r="13" ht="14.25" customHeight="1">
      <c r="A13" t="s" s="197">
        <v>133</v>
      </c>
      <c r="B13" s="198">
        <f>'maj_arvutused'!P26</f>
        <v>11010.9402343475</v>
      </c>
      <c r="C13" s="198"/>
      <c r="D13" s="198"/>
      <c r="E13" t="s" s="25">
        <v>134</v>
      </c>
      <c r="F13" s="50"/>
      <c r="G13" s="194"/>
      <c r="H13" s="50"/>
      <c r="I13" s="50"/>
      <c r="J13" s="50"/>
      <c r="K13" s="26"/>
      <c r="L13" s="6"/>
      <c r="M13" s="6"/>
      <c r="N13" s="6"/>
      <c r="O13" s="6"/>
      <c r="P13" s="6"/>
      <c r="Q13" s="6"/>
      <c r="R13" s="6"/>
      <c r="S13" s="6"/>
      <c r="T13" s="6"/>
      <c r="U13" s="6"/>
    </row>
    <row r="14" ht="14.25" customHeight="1">
      <c r="A14" t="s" s="197">
        <v>135</v>
      </c>
      <c r="B14" s="198">
        <f>'maj_arvutused'!R26</f>
        <v>62341.1031434676</v>
      </c>
      <c r="C14" s="198"/>
      <c r="D14" s="198"/>
      <c r="E14" t="s" s="25">
        <v>136</v>
      </c>
      <c r="F14" s="50"/>
      <c r="G14" s="194"/>
      <c r="H14" s="50"/>
      <c r="I14" s="50"/>
      <c r="J14" s="50"/>
      <c r="K14" s="26"/>
      <c r="L14" s="6"/>
      <c r="M14" s="6"/>
      <c r="N14" s="6"/>
      <c r="O14" s="6"/>
      <c r="P14" s="6"/>
      <c r="Q14" s="6"/>
      <c r="R14" s="6"/>
      <c r="S14" s="6"/>
      <c r="T14" s="6"/>
      <c r="U14" s="6"/>
    </row>
    <row r="15" ht="14.25" customHeight="1">
      <c r="A15" t="s" s="197">
        <v>137</v>
      </c>
      <c r="B15" s="198">
        <f>'maj_arvutused'!V26</f>
        <v>18932.0641459916</v>
      </c>
      <c r="C15" s="198">
        <f>B45</f>
        <v>11391.5119887581</v>
      </c>
      <c r="D15" s="198">
        <f>B15+C15</f>
        <v>30323.5761347497</v>
      </c>
      <c r="E15" t="s" s="25">
        <v>138</v>
      </c>
      <c r="F15" s="50"/>
      <c r="G15" s="194"/>
      <c r="H15" s="50"/>
      <c r="I15" s="50"/>
      <c r="J15" s="50"/>
      <c r="K15" s="26"/>
      <c r="L15" s="6"/>
      <c r="M15" s="6"/>
      <c r="N15" s="6"/>
      <c r="O15" s="6"/>
      <c r="P15" s="6"/>
      <c r="Q15" s="6"/>
      <c r="R15" s="6"/>
      <c r="S15" s="6"/>
      <c r="T15" s="6"/>
      <c r="U15" s="6"/>
    </row>
    <row r="16" ht="14.25" customHeight="1">
      <c r="A16" t="s" s="21">
        <v>139</v>
      </c>
      <c r="B16" s="196">
        <f>'maj_arvutused'!T26</f>
        <v>110761.585500501</v>
      </c>
      <c r="C16" s="196"/>
      <c r="D16" s="196"/>
      <c r="E16" t="s" s="25">
        <v>140</v>
      </c>
      <c r="F16" s="50"/>
      <c r="G16" s="194"/>
      <c r="H16" s="50"/>
      <c r="I16" s="50"/>
      <c r="J16" s="50"/>
      <c r="K16" s="26"/>
      <c r="L16" s="6"/>
      <c r="M16" s="6"/>
      <c r="N16" s="6"/>
      <c r="O16" s="6"/>
      <c r="P16" s="6"/>
      <c r="Q16" s="6"/>
      <c r="R16" s="6"/>
      <c r="S16" s="6"/>
      <c r="T16" s="6"/>
      <c r="U16" s="6"/>
    </row>
    <row r="17" ht="14.25" customHeight="1">
      <c r="A17" t="s" s="199">
        <v>141</v>
      </c>
      <c r="B17" s="200">
        <f>'maj_arvutused'!Q10*-1</f>
        <v>-48190.3163864425</v>
      </c>
      <c r="C17" s="200"/>
      <c r="D17" s="200">
        <f>B17</f>
        <v>-48190.3163864425</v>
      </c>
      <c r="E17" t="s" s="25">
        <v>142</v>
      </c>
      <c r="F17" s="50"/>
      <c r="G17" s="194"/>
      <c r="H17" s="50"/>
      <c r="I17" s="50"/>
      <c r="J17" s="50"/>
      <c r="K17" s="26"/>
      <c r="L17" s="6"/>
      <c r="M17" s="6"/>
      <c r="N17" s="6"/>
      <c r="O17" s="6"/>
      <c r="P17" s="6"/>
      <c r="Q17" s="6"/>
      <c r="R17" s="6"/>
      <c r="S17" s="6"/>
      <c r="T17" s="6"/>
      <c r="U17" s="6"/>
    </row>
    <row r="18" ht="14.25" customHeight="1">
      <c r="A18" t="s" s="69">
        <v>143</v>
      </c>
      <c r="B18" s="195">
        <f>'maj_arvutused'!AB26</f>
        <v>763007.899919129</v>
      </c>
      <c r="C18" s="195">
        <f>B46</f>
        <v>473968.223787183</v>
      </c>
      <c r="D18" s="195">
        <f>SUM(B18:C18)</f>
        <v>1236976.12370631</v>
      </c>
      <c r="E18" t="s" s="49">
        <v>144</v>
      </c>
      <c r="F18" s="50"/>
      <c r="G18" s="194"/>
      <c r="H18" s="50"/>
      <c r="I18" s="50"/>
      <c r="J18" s="50"/>
      <c r="K18" s="26"/>
      <c r="L18" s="6"/>
      <c r="M18" s="6"/>
      <c r="N18" s="6"/>
      <c r="O18" s="6"/>
      <c r="P18" s="6"/>
      <c r="Q18" s="6"/>
      <c r="R18" s="6"/>
      <c r="S18" s="6"/>
      <c r="T18" s="6"/>
      <c r="U18" s="6"/>
    </row>
    <row r="19" ht="14" customHeight="1">
      <c r="A19" t="s" s="21">
        <v>145</v>
      </c>
      <c r="B19" s="196">
        <f>'maj_arvutused'!Z26</f>
        <v>358219.671323535</v>
      </c>
      <c r="C19" s="196"/>
      <c r="D19" s="196"/>
      <c r="E19" t="s" s="25">
        <v>146</v>
      </c>
      <c r="F19" s="50"/>
      <c r="G19" s="194"/>
      <c r="H19" s="50"/>
      <c r="I19" s="50"/>
      <c r="J19" s="50"/>
      <c r="K19" s="26"/>
      <c r="L19" s="6"/>
      <c r="M19" s="6"/>
      <c r="N19" s="6"/>
      <c r="O19" s="6"/>
      <c r="P19" s="6"/>
      <c r="Q19" s="6"/>
      <c r="R19" s="6"/>
      <c r="S19" s="6"/>
      <c r="T19" s="6"/>
      <c r="U19" s="6"/>
    </row>
    <row r="20" ht="14.25" customHeight="1">
      <c r="A20" t="s" s="201">
        <v>147</v>
      </c>
      <c r="B20" s="198">
        <f>'maj_arvutused'!W26</f>
        <v>159397.327702899</v>
      </c>
      <c r="C20" s="196"/>
      <c r="D20" s="196"/>
      <c r="E20" t="s" s="25">
        <v>148</v>
      </c>
      <c r="F20" s="50"/>
      <c r="G20" s="194"/>
      <c r="H20" s="50"/>
      <c r="I20" s="50"/>
      <c r="J20" s="50"/>
      <c r="K20" s="26"/>
      <c r="L20" s="6"/>
      <c r="M20" s="6"/>
      <c r="N20" s="6"/>
      <c r="O20" s="6"/>
      <c r="P20" s="6"/>
      <c r="Q20" s="6"/>
      <c r="R20" s="6"/>
      <c r="S20" s="6"/>
      <c r="T20" s="6"/>
      <c r="U20" s="6"/>
    </row>
    <row r="21" ht="14.25" customHeight="1">
      <c r="A21" t="s" s="202">
        <v>149</v>
      </c>
      <c r="B21" s="203">
        <f>'maj_arvutused'!Y26</f>
        <v>198822.343620636</v>
      </c>
      <c r="C21" s="204"/>
      <c r="D21" s="204"/>
      <c r="E21" t="s" s="25">
        <v>150</v>
      </c>
      <c r="F21" s="205"/>
      <c r="G21" s="205"/>
      <c r="H21" s="205"/>
      <c r="I21" s="205"/>
      <c r="J21" s="205"/>
      <c r="K21" s="26"/>
      <c r="L21" s="6"/>
      <c r="M21" s="6"/>
      <c r="N21" s="6"/>
      <c r="O21" s="6"/>
      <c r="P21" s="6"/>
      <c r="Q21" s="6"/>
      <c r="R21" s="6"/>
      <c r="S21" s="6"/>
      <c r="T21" s="6"/>
      <c r="U21" s="6"/>
    </row>
    <row r="22" ht="14.25" customHeight="1">
      <c r="A22" t="s" s="201">
        <v>151</v>
      </c>
      <c r="B22" s="198">
        <f>'maj_arvutused'!AC26</f>
        <v>14186.362165558</v>
      </c>
      <c r="C22" s="196"/>
      <c r="D22" s="196"/>
      <c r="E22" t="s" s="25">
        <v>152</v>
      </c>
      <c r="F22" s="50"/>
      <c r="G22" s="194"/>
      <c r="H22" s="50"/>
      <c r="I22" s="50"/>
      <c r="J22" s="50"/>
      <c r="K22" s="26"/>
      <c r="L22" s="6"/>
      <c r="M22" s="6"/>
      <c r="N22" s="6"/>
      <c r="O22" s="6"/>
      <c r="P22" s="6"/>
      <c r="Q22" s="6"/>
      <c r="R22" s="6"/>
      <c r="S22" s="6"/>
      <c r="T22" s="6"/>
      <c r="U22" s="6"/>
    </row>
    <row r="23" ht="14.25" customHeight="1">
      <c r="A23" t="s" s="206">
        <v>153</v>
      </c>
      <c r="B23" s="207">
        <f>'maj_arvutused'!AA26</f>
        <v>404788.228595595</v>
      </c>
      <c r="C23" s="204"/>
      <c r="D23" s="204"/>
      <c r="E23" t="s" s="25">
        <v>154</v>
      </c>
      <c r="F23" s="205"/>
      <c r="G23" s="205"/>
      <c r="H23" s="205"/>
      <c r="I23" s="205"/>
      <c r="J23" s="205"/>
      <c r="K23" s="208"/>
      <c r="L23" s="209"/>
      <c r="M23" s="209"/>
      <c r="N23" s="209"/>
      <c r="O23" s="6"/>
      <c r="P23" s="6"/>
      <c r="Q23" s="6"/>
      <c r="R23" s="6"/>
      <c r="S23" s="6"/>
      <c r="T23" s="6"/>
      <c r="U23" s="6"/>
    </row>
    <row r="24" ht="14.25" customHeight="1">
      <c r="A24" t="s" s="210">
        <v>155</v>
      </c>
      <c r="B24" s="211">
        <f>'maj_arvutused'!T10*-1</f>
        <v>-91975.6246330398</v>
      </c>
      <c r="C24" s="200"/>
      <c r="D24" s="200">
        <f>B24</f>
        <v>-91975.6246330398</v>
      </c>
      <c r="E24" t="s" s="212">
        <v>156</v>
      </c>
      <c r="F24" s="205"/>
      <c r="G24" s="205"/>
      <c r="H24" s="205"/>
      <c r="I24" s="205"/>
      <c r="J24" s="205"/>
      <c r="K24" s="208"/>
      <c r="L24" s="209"/>
      <c r="M24" s="209"/>
      <c r="N24" s="209"/>
      <c r="O24" s="6"/>
      <c r="P24" s="6"/>
      <c r="Q24" s="6"/>
      <c r="R24" s="6"/>
      <c r="S24" s="6"/>
      <c r="T24" s="6"/>
      <c r="U24" s="6"/>
    </row>
    <row r="25" ht="28.5" customHeight="1">
      <c r="A25" t="s" s="213">
        <v>157</v>
      </c>
      <c r="B25" t="s" s="51">
        <v>158</v>
      </c>
      <c r="C25" t="s" s="51">
        <v>159</v>
      </c>
      <c r="D25" t="s" s="51">
        <v>160</v>
      </c>
      <c r="E25" t="s" s="51">
        <v>161</v>
      </c>
      <c r="F25" t="s" s="214">
        <v>162</v>
      </c>
      <c r="G25" s="215"/>
      <c r="H25" s="215"/>
      <c r="I25" s="215"/>
      <c r="J25" s="215"/>
      <c r="K25" s="11"/>
      <c r="L25" s="6"/>
      <c r="M25" s="6"/>
      <c r="N25" s="6"/>
      <c r="O25" s="6"/>
      <c r="P25" s="6"/>
      <c r="Q25" s="6"/>
      <c r="R25" s="6"/>
      <c r="S25" s="6"/>
      <c r="T25" s="6"/>
      <c r="U25" s="6"/>
    </row>
    <row r="26" ht="14.25" customHeight="1">
      <c r="A26" t="s" s="41">
        <v>163</v>
      </c>
      <c r="B26" s="216">
        <f>IF('Sisend'!I28&gt;0,B27/'Sisend'!I28,"pole arvutatav")</f>
        <v>0.248332062030116</v>
      </c>
      <c r="C26" s="216">
        <f>IF('Sisend'!J28&gt;0,C27/'Sisend'!J28,"pole arvutatav")</f>
        <v>10.9110939070909</v>
      </c>
      <c r="D26" s="216">
        <f>IF('Sisend'!I27&gt;0,D27/'Sisend'!I27,"ei toetata")</f>
        <v>1.16852916516398</v>
      </c>
      <c r="E26" t="s" s="217">
        <f>IF('Sisend'!J27&gt;0,E27/'Sisend'!J27,"ei toetata")</f>
        <v>164</v>
      </c>
      <c r="F26" s="218"/>
      <c r="G26" s="218"/>
      <c r="H26" s="218"/>
      <c r="I26" s="218"/>
      <c r="J26" s="218"/>
      <c r="K26" s="11"/>
      <c r="L26" s="6"/>
      <c r="M26" s="6"/>
      <c r="N26" s="6"/>
      <c r="O26" s="6"/>
      <c r="P26" s="6"/>
      <c r="Q26" s="6"/>
      <c r="R26" s="6"/>
      <c r="S26" s="6"/>
      <c r="T26" s="6"/>
      <c r="U26" s="6"/>
    </row>
    <row r="27" ht="14.25" customHeight="1">
      <c r="A27" t="s" s="41">
        <v>165</v>
      </c>
      <c r="B27" s="219">
        <f>B11+B17</f>
        <v>135923.312491874</v>
      </c>
      <c r="C27" s="219">
        <f>B18+B24</f>
        <v>671032.275286089</v>
      </c>
      <c r="D27" s="219">
        <f>B27</f>
        <v>135923.312491874</v>
      </c>
      <c r="E27" s="219">
        <f>C27</f>
        <v>671032.275286089</v>
      </c>
      <c r="F27" s="218"/>
      <c r="G27" s="218"/>
      <c r="H27" s="218"/>
      <c r="I27" s="218"/>
      <c r="J27" s="218"/>
      <c r="K27" s="11"/>
      <c r="L27" s="6"/>
      <c r="M27" s="6"/>
      <c r="N27" s="6"/>
      <c r="O27" s="6"/>
      <c r="P27" s="6"/>
      <c r="Q27" s="6"/>
      <c r="R27" s="6"/>
      <c r="S27" s="6"/>
      <c r="T27" s="6"/>
      <c r="U27" s="6"/>
    </row>
    <row r="28" ht="14.25" customHeight="1">
      <c r="A28" t="s" s="41">
        <v>166</v>
      </c>
      <c r="B28" s="216">
        <f>IF('Sisend'!I28&gt;0,(B27+C11)/'Sisend'!I28,"pole arvutatav")</f>
        <v>0.362204706535817</v>
      </c>
      <c r="C28" s="220"/>
      <c r="D28" s="221">
        <f>IF('Sisend'!I27&gt;0,(D27+C11)/'Sisend'!I27,"ei toetata")</f>
        <v>1.70435810779614</v>
      </c>
      <c r="E28" s="222"/>
      <c r="F28" s="223"/>
      <c r="G28" s="223"/>
      <c r="H28" s="223"/>
      <c r="I28" s="223"/>
      <c r="J28" s="223"/>
      <c r="K28" s="11"/>
      <c r="L28" s="6"/>
      <c r="M28" s="6"/>
      <c r="N28" s="6"/>
      <c r="O28" s="6"/>
      <c r="P28" s="6"/>
      <c r="Q28" s="6"/>
      <c r="R28" s="6"/>
      <c r="S28" s="6"/>
      <c r="T28" s="6"/>
      <c r="U28" s="6"/>
    </row>
    <row r="29" ht="14.25" customHeight="1">
      <c r="A29" t="s" s="41">
        <v>167</v>
      </c>
      <c r="B29" s="224">
        <f>B28</f>
        <v>0.362204706535817</v>
      </c>
      <c r="C29" s="221">
        <f>C26</f>
        <v>10.9110939070909</v>
      </c>
      <c r="D29" s="221">
        <f>D26</f>
        <v>1.16852916516398</v>
      </c>
      <c r="E29" t="s" s="217">
        <f>E26</f>
        <v>168</v>
      </c>
      <c r="F29" s="225"/>
      <c r="G29" s="226"/>
      <c r="H29" s="226"/>
      <c r="I29" s="226"/>
      <c r="J29" s="226"/>
      <c r="K29" s="26"/>
      <c r="L29" s="6"/>
      <c r="M29" s="6"/>
      <c r="N29" s="6"/>
      <c r="O29" s="6"/>
      <c r="P29" s="6"/>
      <c r="Q29" s="6"/>
      <c r="R29" s="6"/>
      <c r="S29" s="6"/>
      <c r="T29" s="6"/>
      <c r="U29" s="6"/>
    </row>
    <row r="30" ht="13.55" customHeight="1">
      <c r="A30" t="s" s="41">
        <v>169</v>
      </c>
      <c r="B30" s="219">
        <f>B15-'Sisend'!K29</f>
        <v>-97387.935854008407</v>
      </c>
      <c r="C30" s="220"/>
      <c r="D30" s="227"/>
      <c r="E30" s="222"/>
      <c r="F30" t="s" s="228">
        <v>170</v>
      </c>
      <c r="G30" s="226"/>
      <c r="H30" s="226"/>
      <c r="I30" s="226"/>
      <c r="J30" s="226"/>
      <c r="K30" s="26"/>
      <c r="L30" s="6"/>
      <c r="M30" s="6"/>
      <c r="N30" s="6"/>
      <c r="O30" s="6"/>
      <c r="P30" s="6"/>
      <c r="Q30" s="6"/>
      <c r="R30" s="6"/>
      <c r="S30" s="6"/>
      <c r="T30" s="6"/>
      <c r="U30" s="6"/>
    </row>
    <row r="31" ht="14.25" customHeight="1">
      <c r="A31" t="s" s="229">
        <v>171</v>
      </c>
      <c r="B31" s="230"/>
      <c r="C31" s="230"/>
      <c r="D31" t="s" s="231">
        <v>172</v>
      </c>
      <c r="E31" s="232"/>
      <c r="F31" s="233"/>
      <c r="G31" s="233"/>
      <c r="H31" s="233"/>
      <c r="I31" s="233"/>
      <c r="J31" s="234"/>
      <c r="K31" s="26"/>
      <c r="L31" s="6"/>
      <c r="M31" s="6"/>
      <c r="N31" s="6"/>
      <c r="O31" s="6"/>
      <c r="P31" s="6"/>
      <c r="Q31" s="6"/>
      <c r="R31" s="6"/>
      <c r="S31" s="6"/>
      <c r="T31" s="6"/>
      <c r="U31" s="6"/>
    </row>
    <row r="32" ht="14.25" customHeight="1">
      <c r="A32" s="81"/>
      <c r="B32" s="81"/>
      <c r="C32" s="81"/>
      <c r="D32" s="64"/>
      <c r="E32" s="64"/>
      <c r="F32" s="64"/>
      <c r="G32" s="64"/>
      <c r="H32" s="64"/>
      <c r="I32" s="64"/>
      <c r="J32" s="64"/>
      <c r="K32" s="6"/>
      <c r="L32" s="6"/>
      <c r="M32" s="6"/>
      <c r="N32" s="6"/>
      <c r="O32" s="6"/>
      <c r="P32" s="6"/>
      <c r="Q32" s="6"/>
      <c r="R32" s="6"/>
      <c r="S32" s="6"/>
      <c r="T32" s="6"/>
      <c r="U32" s="6"/>
    </row>
    <row r="33" ht="18" customHeight="1">
      <c r="A33" t="s" s="86">
        <v>173</v>
      </c>
      <c r="B33" s="6"/>
      <c r="C33" s="6"/>
      <c r="D33" s="6"/>
      <c r="E33" s="6"/>
      <c r="F33" s="6"/>
      <c r="G33" s="6"/>
      <c r="H33" s="6"/>
      <c r="I33" s="6"/>
      <c r="J33" s="6"/>
      <c r="K33" s="6"/>
      <c r="L33" s="6"/>
      <c r="M33" s="6"/>
      <c r="N33" s="6"/>
      <c r="O33" s="6"/>
      <c r="P33" s="6"/>
      <c r="Q33" s="6"/>
      <c r="R33" s="6"/>
      <c r="S33" s="6"/>
      <c r="T33" s="6"/>
      <c r="U33" s="6"/>
    </row>
    <row r="34" ht="14.25" customHeight="1">
      <c r="A34" t="s" s="235">
        <v>174</v>
      </c>
      <c r="B34" s="236"/>
      <c r="C34" s="67"/>
      <c r="D34" s="6"/>
      <c r="E34" s="6"/>
      <c r="F34" s="6"/>
      <c r="G34" s="6"/>
      <c r="H34" s="6"/>
      <c r="I34" s="6"/>
      <c r="J34" s="6"/>
      <c r="K34" s="6"/>
      <c r="L34" s="6"/>
      <c r="M34" s="6"/>
      <c r="N34" s="6"/>
      <c r="O34" s="6"/>
      <c r="P34" s="6"/>
      <c r="Q34" s="6"/>
      <c r="R34" s="6"/>
      <c r="S34" s="6"/>
      <c r="T34" s="6"/>
      <c r="U34" s="6"/>
    </row>
    <row r="35" ht="14.25" customHeight="1">
      <c r="A35" t="s" s="69">
        <v>175</v>
      </c>
      <c r="B35" s="237">
        <f>'sots_arvutused'!B11</f>
        <v>4</v>
      </c>
      <c r="C35" t="s" s="238">
        <f>VLOOKUP(B35,'Parameetrid'!A45:B51,2,FALSE)</f>
        <v>114</v>
      </c>
      <c r="D35" s="239"/>
      <c r="E35" s="240"/>
      <c r="F35" s="240"/>
      <c r="G35" s="240"/>
      <c r="H35" s="6"/>
      <c r="I35" s="6"/>
      <c r="J35" s="6"/>
      <c r="K35" s="6"/>
      <c r="L35" s="6"/>
      <c r="M35" s="6"/>
      <c r="N35" s="6"/>
      <c r="O35" s="6"/>
      <c r="P35" s="6"/>
      <c r="Q35" s="6"/>
      <c r="R35" s="6"/>
      <c r="S35" s="6"/>
      <c r="T35" s="6"/>
      <c r="U35" s="6"/>
    </row>
    <row r="36" ht="14.25" customHeight="1">
      <c r="A36" s="241"/>
      <c r="B36" s="242"/>
      <c r="C36" s="241"/>
      <c r="D36" s="240"/>
      <c r="E36" s="240"/>
      <c r="F36" s="240"/>
      <c r="G36" s="240"/>
      <c r="H36" s="6"/>
      <c r="I36" s="6"/>
      <c r="J36" s="6"/>
      <c r="K36" s="6"/>
      <c r="L36" s="6"/>
      <c r="M36" s="6"/>
      <c r="N36" s="6"/>
      <c r="O36" s="6"/>
      <c r="P36" s="6"/>
      <c r="Q36" s="6"/>
      <c r="R36" s="6"/>
      <c r="S36" s="6"/>
      <c r="T36" s="6"/>
      <c r="U36" s="6"/>
    </row>
    <row r="37" ht="18" customHeight="1">
      <c r="A37" t="s" s="86">
        <v>176</v>
      </c>
      <c r="B37" s="243"/>
      <c r="C37" s="6"/>
      <c r="D37" s="240"/>
      <c r="E37" s="240"/>
      <c r="F37" s="240"/>
      <c r="G37" s="240"/>
      <c r="H37" s="6"/>
      <c r="I37" s="6"/>
      <c r="J37" s="6"/>
      <c r="K37" s="6"/>
      <c r="L37" s="6"/>
      <c r="M37" s="6"/>
      <c r="N37" s="6"/>
      <c r="O37" s="6"/>
      <c r="P37" s="6"/>
      <c r="Q37" s="6"/>
      <c r="R37" s="6"/>
      <c r="S37" s="6"/>
      <c r="T37" s="6"/>
      <c r="U37" s="6"/>
    </row>
    <row r="38" ht="14.25" customHeight="1">
      <c r="A38" t="s" s="244">
        <v>177</v>
      </c>
      <c r="B38" s="245"/>
      <c r="C38" s="6"/>
      <c r="D38" s="6"/>
      <c r="E38" s="6"/>
      <c r="F38" s="6"/>
      <c r="G38" s="6"/>
      <c r="H38" s="6"/>
      <c r="I38" s="6"/>
      <c r="J38" s="6"/>
      <c r="K38" s="6"/>
      <c r="L38" s="6"/>
      <c r="M38" s="6"/>
      <c r="N38" s="6"/>
      <c r="O38" s="6"/>
      <c r="P38" s="6"/>
      <c r="Q38" s="6"/>
      <c r="R38" s="6"/>
      <c r="S38" s="6"/>
      <c r="T38" s="6"/>
      <c r="U38" s="6"/>
    </row>
    <row r="39" ht="14.25" customHeight="1">
      <c r="A39" t="s" s="246">
        <v>178</v>
      </c>
      <c r="B39" s="67"/>
      <c r="C39" s="67"/>
      <c r="D39" s="6"/>
      <c r="E39" s="6"/>
      <c r="F39" s="6"/>
      <c r="G39" s="6"/>
      <c r="H39" s="6"/>
      <c r="I39" s="6"/>
      <c r="J39" s="6"/>
      <c r="K39" s="6"/>
      <c r="L39" s="6"/>
      <c r="M39" s="6"/>
      <c r="N39" s="6"/>
      <c r="O39" s="6"/>
      <c r="P39" s="6"/>
      <c r="Q39" s="6"/>
      <c r="R39" s="6"/>
      <c r="S39" s="6"/>
      <c r="T39" s="6"/>
      <c r="U39" s="6"/>
    </row>
    <row r="40" ht="14.25" customHeight="1">
      <c r="A40" t="s" s="41">
        <v>179</v>
      </c>
      <c r="B40" s="237">
        <f>'kuv_arvutused'!B19</f>
        <v>1</v>
      </c>
      <c r="C40" t="s" s="238">
        <f>VLOOKUP(B40,'Parameetrid'!A53:B58,2,FALSE)</f>
        <v>180</v>
      </c>
      <c r="D40" s="247"/>
      <c r="E40" s="6"/>
      <c r="F40" s="6"/>
      <c r="G40" s="6"/>
      <c r="H40" s="6"/>
      <c r="I40" s="6"/>
      <c r="J40" s="6"/>
      <c r="K40" s="6"/>
      <c r="L40" s="6"/>
      <c r="M40" s="6"/>
      <c r="N40" s="6"/>
      <c r="O40" s="6"/>
      <c r="P40" s="6"/>
      <c r="Q40" s="6"/>
      <c r="R40" s="6"/>
      <c r="S40" s="6"/>
      <c r="T40" s="6"/>
      <c r="U40" s="6"/>
    </row>
    <row r="41" ht="14.25" customHeight="1">
      <c r="A41" t="s" s="41">
        <v>181</v>
      </c>
      <c r="B41" s="237">
        <f>'kuv_arvutused'!B20</f>
        <v>5</v>
      </c>
      <c r="C41" t="s" s="238">
        <f>VLOOKUP(B41,'Parameetrid'!A53:B58,2,FALSE)</f>
        <v>111</v>
      </c>
      <c r="D41" s="11"/>
      <c r="E41" s="6"/>
      <c r="F41" s="6"/>
      <c r="G41" s="6"/>
      <c r="H41" s="6"/>
      <c r="I41" s="6"/>
      <c r="J41" s="6"/>
      <c r="K41" s="6"/>
      <c r="L41" s="6"/>
      <c r="M41" s="6"/>
      <c r="N41" s="6"/>
      <c r="O41" s="6"/>
      <c r="P41" s="6"/>
      <c r="Q41" s="6"/>
      <c r="R41" s="6"/>
      <c r="S41" s="6"/>
      <c r="T41" s="6"/>
      <c r="U41" s="6"/>
    </row>
    <row r="42" ht="14.25" customHeight="1">
      <c r="A42" t="s" s="41">
        <v>182</v>
      </c>
      <c r="B42" s="237">
        <f>'kuv_arvutused'!B21</f>
        <v>1</v>
      </c>
      <c r="C42" t="s" s="238">
        <f>VLOOKUP(B42,'Parameetrid'!A53:B58,2,FALSE)</f>
        <v>180</v>
      </c>
      <c r="D42" s="11"/>
      <c r="E42" s="6"/>
      <c r="F42" s="6"/>
      <c r="G42" s="6"/>
      <c r="H42" s="6"/>
      <c r="I42" s="6"/>
      <c r="J42" s="6"/>
      <c r="K42" s="6"/>
      <c r="L42" s="6"/>
      <c r="M42" s="6"/>
      <c r="N42" s="6"/>
      <c r="O42" s="6"/>
      <c r="P42" s="6"/>
      <c r="Q42" s="6"/>
      <c r="R42" s="6"/>
      <c r="S42" s="6"/>
      <c r="T42" s="6"/>
      <c r="U42" s="6"/>
    </row>
    <row r="43" ht="14.25" customHeight="1">
      <c r="A43" t="s" s="41">
        <v>183</v>
      </c>
      <c r="B43" s="237">
        <f>'kuv_arvutused'!B22</f>
        <v>5</v>
      </c>
      <c r="C43" t="s" s="238">
        <f>VLOOKUP(B43,'Parameetrid'!A53:B58,2,FALSE)</f>
        <v>111</v>
      </c>
      <c r="D43" s="248"/>
      <c r="E43" s="40"/>
      <c r="F43" s="40"/>
      <c r="G43" s="40"/>
      <c r="H43" s="6"/>
      <c r="I43" s="6"/>
      <c r="J43" s="6"/>
      <c r="K43" s="6"/>
      <c r="L43" s="6"/>
      <c r="M43" s="6"/>
      <c r="N43" s="6"/>
      <c r="O43" s="6"/>
      <c r="P43" s="6"/>
      <c r="Q43" s="6"/>
      <c r="R43" s="6"/>
      <c r="S43" s="6"/>
      <c r="T43" s="6"/>
      <c r="U43" s="6"/>
    </row>
    <row r="44" ht="29.45" customHeight="1">
      <c r="A44" t="s" s="71">
        <v>184</v>
      </c>
      <c r="B44" s="249">
        <f>'kuv_arvutused'!I33</f>
        <v>62327.6226069727</v>
      </c>
      <c r="C44" t="s" s="250">
        <v>185</v>
      </c>
      <c r="D44" s="251"/>
      <c r="E44" s="251"/>
      <c r="F44" s="251"/>
      <c r="G44" s="251"/>
      <c r="H44" s="26"/>
      <c r="I44" s="6"/>
      <c r="J44" s="6"/>
      <c r="K44" s="6"/>
      <c r="L44" s="6"/>
      <c r="M44" s="6"/>
      <c r="N44" s="6"/>
      <c r="O44" s="6"/>
      <c r="P44" s="6"/>
      <c r="Q44" s="6"/>
      <c r="R44" s="6"/>
      <c r="S44" s="6"/>
      <c r="T44" s="6"/>
      <c r="U44" s="6"/>
    </row>
    <row r="45" ht="14.25" customHeight="1">
      <c r="A45" t="s" s="252">
        <v>186</v>
      </c>
      <c r="B45" s="253">
        <f>'kuv_arvutused'!J33</f>
        <v>11391.5119887581</v>
      </c>
      <c r="C45" t="s" s="49">
        <v>187</v>
      </c>
      <c r="D45" s="50"/>
      <c r="E45" s="50"/>
      <c r="F45" s="50"/>
      <c r="G45" s="50"/>
      <c r="H45" s="26"/>
      <c r="I45" s="6"/>
      <c r="J45" s="6"/>
      <c r="K45" s="6"/>
      <c r="L45" s="6"/>
      <c r="M45" s="6"/>
      <c r="N45" s="6"/>
      <c r="O45" s="6"/>
      <c r="P45" s="6"/>
      <c r="Q45" s="6"/>
      <c r="R45" s="6"/>
      <c r="S45" s="6"/>
      <c r="T45" s="6"/>
      <c r="U45" s="6"/>
    </row>
    <row r="46" ht="14.25" customHeight="1">
      <c r="A46" t="s" s="69">
        <v>188</v>
      </c>
      <c r="B46" s="254">
        <f>'kuv_arvutused'!I32</f>
        <v>473968.223787183</v>
      </c>
      <c r="C46" t="s" s="255">
        <v>189</v>
      </c>
      <c r="D46" s="256"/>
      <c r="E46" s="256"/>
      <c r="F46" s="256"/>
      <c r="G46" s="256"/>
      <c r="H46" s="26"/>
      <c r="I46" s="6"/>
      <c r="J46" s="6"/>
      <c r="K46" s="6"/>
      <c r="L46" s="6"/>
      <c r="M46" s="6"/>
      <c r="N46" s="6"/>
      <c r="O46" s="6"/>
      <c r="P46" s="6"/>
      <c r="Q46" s="6"/>
      <c r="R46" s="6"/>
      <c r="S46" s="6"/>
      <c r="T46" s="6"/>
      <c r="U46" s="6"/>
    </row>
  </sheetData>
  <mergeCells count="11">
    <mergeCell ref="A2:E2"/>
    <mergeCell ref="A1:E1"/>
    <mergeCell ref="F25:J28"/>
    <mergeCell ref="B9:J9"/>
    <mergeCell ref="A31:C31"/>
    <mergeCell ref="D31:J31"/>
    <mergeCell ref="A8:C8"/>
    <mergeCell ref="E21:J21"/>
    <mergeCell ref="E23:J23"/>
    <mergeCell ref="F30:J30"/>
    <mergeCell ref="F29:J29"/>
  </mergeCells>
  <conditionalFormatting sqref="B4">
    <cfRule type="cellIs" dxfId="6" priority="1" operator="lessThan" stopIfTrue="1">
      <formula>$E$6</formula>
    </cfRule>
  </conditionalFormatting>
  <conditionalFormatting sqref="B5 B26:E27 B28:B30 D28 C29:E29 D30">
    <cfRule type="cellIs" dxfId="7" priority="1" operator="lessThan" stopIfTrue="1">
      <formula>$H$5</formula>
    </cfRule>
  </conditionalFormatting>
  <conditionalFormatting sqref="A8">
    <cfRule type="containsText" dxfId="8" priority="1" stopIfTrue="1" text="NB! Praeguse eelarve järgi sündmuse kulud ületavad tulusid. Täienda eelarvet!">
      <formula>NOT(ISERROR(FIND(UPPER("NB! Praeguse eelarve järgi sündmuse kulud ületavad tulusid. Täienda eelarvet!"),UPPER(A8))))</formula>
      <formula>"NB! Praeguse eelarve järgi sündmuse kulud ületavad tulusid. Täienda eelarvet!"</formula>
    </cfRule>
  </conditionalFormatting>
  <conditionalFormatting sqref="B35:B36">
    <cfRule type="cellIs" dxfId="9" priority="1" operator="between" stopIfTrue="1">
      <formula>1</formula>
      <formula>5</formula>
    </cfRule>
    <cfRule type="cellIs" dxfId="10" priority="2" operator="equal" stopIfTrue="1">
      <formula>-1</formula>
    </cfRule>
  </conditionalFormatting>
  <conditionalFormatting sqref="B40:B43">
    <cfRule type="cellIs" dxfId="11" priority="1" operator="between" stopIfTrue="1">
      <formula>3</formula>
      <formula>10</formula>
    </cfRule>
    <cfRule type="cellIs" dxfId="12" priority="2" operator="between" stopIfTrue="1">
      <formula>-1</formula>
      <formula>0</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X79"/>
  <sheetViews>
    <sheetView workbookViewId="0" showGridLines="0" defaultGridColor="1"/>
  </sheetViews>
  <sheetFormatPr defaultColWidth="8.83333" defaultRowHeight="14.25" customHeight="1" outlineLevelRow="0" outlineLevelCol="0"/>
  <cols>
    <col min="1" max="1" width="50.1719" style="257" customWidth="1"/>
    <col min="2" max="2" width="22.5" style="257" customWidth="1"/>
    <col min="3" max="3" width="22.8516" style="257" customWidth="1"/>
    <col min="4" max="6" width="8.85156" style="257" customWidth="1"/>
    <col min="7" max="7" width="11" style="257" customWidth="1"/>
    <col min="8" max="8" width="8.85156" style="257" customWidth="1"/>
    <col min="9" max="12" width="15.8516" style="257" customWidth="1"/>
    <col min="13" max="13" width="12.8516" style="257" customWidth="1"/>
    <col min="14" max="14" width="25.1719" style="257" customWidth="1"/>
    <col min="15" max="15" width="12.1719" style="257" customWidth="1"/>
    <col min="16" max="16" width="27" style="257" customWidth="1"/>
    <col min="17" max="17" width="21.8516" style="257" customWidth="1"/>
    <col min="18" max="18" width="13.6719" style="257" customWidth="1"/>
    <col min="19" max="19" width="27" style="257" customWidth="1"/>
    <col min="20" max="20" width="9.17188" style="257" customWidth="1"/>
    <col min="21" max="21" width="8.85156" style="257" customWidth="1"/>
    <col min="22" max="22" width="24.1719" style="257" customWidth="1"/>
    <col min="23" max="24" width="8.85156" style="257" customWidth="1"/>
    <col min="25" max="16384" width="8.85156" style="257" customWidth="1"/>
  </cols>
  <sheetData>
    <row r="1" ht="23.1" customHeight="1">
      <c r="A1" t="s" s="258">
        <v>190</v>
      </c>
      <c r="B1" s="259"/>
      <c r="C1" s="259"/>
      <c r="D1" s="259"/>
      <c r="E1" s="259"/>
      <c r="F1" s="259"/>
      <c r="G1" s="259"/>
      <c r="H1" s="259"/>
      <c r="I1" s="260"/>
      <c r="J1" s="259"/>
      <c r="K1" s="259"/>
      <c r="L1" s="259"/>
      <c r="M1" s="259"/>
      <c r="N1" s="259"/>
      <c r="O1" s="26"/>
      <c r="P1" s="6"/>
      <c r="Q1" s="6"/>
      <c r="R1" s="6"/>
      <c r="S1" s="6"/>
      <c r="T1" s="6"/>
      <c r="U1" s="6"/>
      <c r="V1" s="6"/>
      <c r="W1" s="6"/>
      <c r="X1" s="6"/>
    </row>
    <row r="2" ht="23.1" customHeight="1">
      <c r="A2" t="s" s="261">
        <f>'Sisend'!B4</f>
        <v>191</v>
      </c>
      <c r="B2" s="262"/>
      <c r="C2" s="262"/>
      <c r="D2" s="262"/>
      <c r="E2" s="262"/>
      <c r="F2" s="262"/>
      <c r="G2" s="262"/>
      <c r="H2" s="262"/>
      <c r="I2" s="262"/>
      <c r="J2" s="262"/>
      <c r="K2" s="262"/>
      <c r="L2" s="262"/>
      <c r="M2" s="263"/>
      <c r="N2" s="264"/>
      <c r="O2" s="6"/>
      <c r="P2" s="6"/>
      <c r="Q2" s="6"/>
      <c r="R2" s="6"/>
      <c r="S2" s="6"/>
      <c r="T2" s="6"/>
      <c r="U2" s="6"/>
      <c r="V2" s="6"/>
      <c r="W2" s="6"/>
      <c r="X2" s="6"/>
    </row>
    <row r="3" ht="18" customHeight="1">
      <c r="A3" t="s" s="265">
        <v>192</v>
      </c>
      <c r="B3" s="266"/>
      <c r="C3" s="266"/>
      <c r="D3" s="64"/>
      <c r="E3" s="266"/>
      <c r="F3" s="266"/>
      <c r="G3" s="266"/>
      <c r="H3" s="266"/>
      <c r="I3" s="266"/>
      <c r="J3" s="266"/>
      <c r="K3" s="64"/>
      <c r="L3" s="64"/>
      <c r="M3" s="6"/>
      <c r="N3" s="6"/>
      <c r="O3" s="6"/>
      <c r="P3" s="6"/>
      <c r="Q3" s="6"/>
      <c r="R3" s="6"/>
      <c r="S3" s="6"/>
      <c r="T3" s="6"/>
      <c r="U3" s="6"/>
      <c r="V3" s="6"/>
      <c r="W3" s="6"/>
      <c r="X3" s="6"/>
    </row>
    <row r="4" ht="13.55" customHeight="1">
      <c r="A4" t="s" s="267">
        <v>193</v>
      </c>
      <c r="B4" t="s" s="51">
        <v>194</v>
      </c>
      <c r="C4" t="s" s="51">
        <v>195</v>
      </c>
      <c r="D4" s="268"/>
      <c r="E4" t="s" s="213">
        <v>196</v>
      </c>
      <c r="F4" s="220"/>
      <c r="G4" s="220"/>
      <c r="H4" s="220"/>
      <c r="I4" t="s" s="51">
        <v>197</v>
      </c>
      <c r="J4" t="s" s="51">
        <v>198</v>
      </c>
      <c r="K4" s="11"/>
      <c r="L4" s="6"/>
      <c r="M4" s="6"/>
      <c r="N4" s="6"/>
      <c r="O4" s="6"/>
      <c r="P4" s="6"/>
      <c r="Q4" s="6"/>
      <c r="R4" s="6"/>
      <c r="S4" s="6"/>
      <c r="T4" s="6"/>
      <c r="U4" s="6"/>
      <c r="V4" s="6"/>
      <c r="W4" s="6"/>
      <c r="X4" s="6"/>
    </row>
    <row r="5" ht="13.55" customHeight="1">
      <c r="A5" t="s" s="21">
        <v>199</v>
      </c>
      <c r="B5" s="269">
        <v>0.51</v>
      </c>
      <c r="C5" s="269">
        <v>1.51</v>
      </c>
      <c r="D5" s="268"/>
      <c r="E5" t="s" s="270">
        <v>200</v>
      </c>
      <c r="F5" s="271"/>
      <c r="G5" s="271"/>
      <c r="H5" s="272"/>
      <c r="I5" s="273">
        <f>34.2*0.5</f>
        <v>17.1</v>
      </c>
      <c r="J5" s="274">
        <f>28*0.5</f>
        <v>14</v>
      </c>
      <c r="K5" s="26"/>
      <c r="L5" s="6"/>
      <c r="M5" s="6"/>
      <c r="N5" s="6"/>
      <c r="O5" s="6"/>
      <c r="P5" s="6"/>
      <c r="Q5" s="6"/>
      <c r="R5" s="6"/>
      <c r="S5" s="6"/>
      <c r="T5" s="6"/>
      <c r="U5" s="6"/>
      <c r="V5" s="6"/>
      <c r="W5" s="6"/>
      <c r="X5" s="6"/>
    </row>
    <row r="6" ht="13.55" customHeight="1">
      <c r="A6" t="s" s="41">
        <v>201</v>
      </c>
      <c r="B6" s="220"/>
      <c r="C6" s="220"/>
      <c r="D6" s="268"/>
      <c r="E6" t="s" s="270">
        <v>202</v>
      </c>
      <c r="F6" s="271"/>
      <c r="G6" s="271"/>
      <c r="H6" s="272"/>
      <c r="I6" s="273">
        <f>I5</f>
        <v>17.1</v>
      </c>
      <c r="J6" s="274">
        <f>J5</f>
        <v>14</v>
      </c>
      <c r="K6" s="26"/>
      <c r="L6" s="6"/>
      <c r="M6" s="6"/>
      <c r="N6" s="6"/>
      <c r="O6" s="6"/>
      <c r="P6" s="6"/>
      <c r="Q6" s="6"/>
      <c r="R6" s="6"/>
      <c r="S6" s="6"/>
      <c r="T6" s="6"/>
      <c r="U6" s="6"/>
      <c r="V6" s="6"/>
      <c r="W6" s="6"/>
      <c r="X6" s="6"/>
    </row>
    <row r="7" ht="13.55" customHeight="1">
      <c r="A7" t="s" s="21">
        <v>203</v>
      </c>
      <c r="B7" s="269">
        <v>0.51</v>
      </c>
      <c r="C7" s="269">
        <v>1.51</v>
      </c>
      <c r="D7" s="268"/>
      <c r="E7" t="s" s="270">
        <v>204</v>
      </c>
      <c r="F7" s="271"/>
      <c r="G7" s="271"/>
      <c r="H7" s="272"/>
      <c r="I7" s="273">
        <f>21.4*0.5</f>
        <v>10.7</v>
      </c>
      <c r="J7" s="274">
        <f>25.5*0.5</f>
        <v>12.75</v>
      </c>
      <c r="K7" s="26"/>
      <c r="L7" s="6"/>
      <c r="M7" s="6"/>
      <c r="N7" s="6"/>
      <c r="O7" s="6"/>
      <c r="P7" s="6"/>
      <c r="Q7" s="6"/>
      <c r="R7" s="6"/>
      <c r="S7" s="6"/>
      <c r="T7" s="6"/>
      <c r="U7" s="6"/>
      <c r="V7" s="6"/>
      <c r="W7" s="6"/>
      <c r="X7" s="6"/>
    </row>
    <row r="8" ht="13.55" customHeight="1">
      <c r="A8" t="s" s="21">
        <v>205</v>
      </c>
      <c r="B8" s="269">
        <v>0.396</v>
      </c>
      <c r="C8" s="269">
        <v>1.43</v>
      </c>
      <c r="D8" s="268"/>
      <c r="E8" t="s" s="270">
        <v>206</v>
      </c>
      <c r="F8" s="271"/>
      <c r="G8" s="271"/>
      <c r="H8" s="272"/>
      <c r="I8" s="273">
        <v>53.2</v>
      </c>
      <c r="J8" s="274">
        <v>25.6</v>
      </c>
      <c r="K8" s="26"/>
      <c r="L8" s="6"/>
      <c r="M8" s="6"/>
      <c r="N8" s="6"/>
      <c r="O8" s="6"/>
      <c r="P8" s="6"/>
      <c r="Q8" s="6"/>
      <c r="R8" s="6"/>
      <c r="S8" s="6"/>
      <c r="T8" s="6"/>
      <c r="U8" s="6"/>
      <c r="V8" s="6"/>
      <c r="W8" s="6"/>
      <c r="X8" s="6"/>
    </row>
    <row r="9" ht="13.55" customHeight="1">
      <c r="A9" t="s" s="21">
        <v>207</v>
      </c>
      <c r="B9" s="269">
        <v>0.2</v>
      </c>
      <c r="C9" s="269">
        <v>1.13</v>
      </c>
      <c r="D9" s="268"/>
      <c r="E9" t="s" s="270">
        <v>208</v>
      </c>
      <c r="F9" s="271"/>
      <c r="G9" s="271"/>
      <c r="H9" s="272"/>
      <c r="I9" s="273">
        <f>19.8*0.5</f>
        <v>9.9</v>
      </c>
      <c r="J9" s="273">
        <f>19.5*0.5</f>
        <v>9.75</v>
      </c>
      <c r="K9" s="11"/>
      <c r="L9" s="6"/>
      <c r="M9" s="6"/>
      <c r="N9" s="6"/>
      <c r="O9" s="6"/>
      <c r="P9" s="6"/>
      <c r="Q9" s="6"/>
      <c r="R9" s="6"/>
      <c r="S9" s="6"/>
      <c r="T9" s="6"/>
      <c r="U9" s="6"/>
      <c r="V9" s="6"/>
      <c r="W9" s="6"/>
      <c r="X9" s="6"/>
    </row>
    <row r="10" ht="13.55" customHeight="1">
      <c r="A10" t="s" s="275">
        <v>209</v>
      </c>
      <c r="B10" s="105"/>
      <c r="C10" s="81"/>
      <c r="D10" s="276"/>
      <c r="E10" t="s" s="270">
        <v>210</v>
      </c>
      <c r="F10" s="271"/>
      <c r="G10" s="271"/>
      <c r="H10" s="272"/>
      <c r="I10" s="273">
        <f>I9</f>
        <v>9.9</v>
      </c>
      <c r="J10" s="273">
        <f>J9</f>
        <v>9.75</v>
      </c>
      <c r="K10" s="11"/>
      <c r="L10" s="6"/>
      <c r="M10" s="6"/>
      <c r="N10" s="67"/>
      <c r="O10" s="67"/>
      <c r="P10" s="67"/>
      <c r="Q10" s="67"/>
      <c r="R10" s="67"/>
      <c r="S10" s="6"/>
      <c r="T10" s="6"/>
      <c r="U10" s="6"/>
      <c r="V10" s="6"/>
      <c r="W10" s="6"/>
      <c r="X10" s="6"/>
    </row>
    <row r="11" ht="28.5" customHeight="1">
      <c r="A11" t="s" s="41">
        <v>211</v>
      </c>
      <c r="B11" s="277">
        <v>0.22</v>
      </c>
      <c r="C11" s="11"/>
      <c r="D11" s="276"/>
      <c r="E11" t="s" s="270">
        <v>212</v>
      </c>
      <c r="F11" s="271"/>
      <c r="G11" s="271"/>
      <c r="H11" s="272"/>
      <c r="I11" s="273">
        <f>I7</f>
        <v>10.7</v>
      </c>
      <c r="J11" s="278">
        <f>J7</f>
        <v>12.75</v>
      </c>
      <c r="K11" s="26"/>
      <c r="L11" s="6"/>
      <c r="M11" s="276"/>
      <c r="N11" t="s" s="213">
        <v>213</v>
      </c>
      <c r="O11" t="s" s="41">
        <v>214</v>
      </c>
      <c r="P11" t="s" s="51">
        <v>215</v>
      </c>
      <c r="Q11" t="s" s="51">
        <v>216</v>
      </c>
      <c r="R11" t="s" s="51">
        <v>217</v>
      </c>
      <c r="S11" s="11"/>
      <c r="T11" s="6"/>
      <c r="U11" s="6"/>
      <c r="V11" s="6"/>
      <c r="W11" s="6"/>
      <c r="X11" s="6"/>
    </row>
    <row r="12" ht="13.55" customHeight="1">
      <c r="A12" t="s" s="41">
        <v>218</v>
      </c>
      <c r="B12" s="277">
        <v>0.13</v>
      </c>
      <c r="C12" s="11"/>
      <c r="D12" s="276"/>
      <c r="E12" t="s" s="279">
        <v>219</v>
      </c>
      <c r="F12" s="280"/>
      <c r="G12" s="280"/>
      <c r="H12" s="281"/>
      <c r="I12" s="282">
        <f>SUM(I5:I11)</f>
        <v>128.6</v>
      </c>
      <c r="J12" s="282">
        <f>SUM(J5:J11)</f>
        <v>98.59999999999999</v>
      </c>
      <c r="K12" s="11"/>
      <c r="L12" s="6"/>
      <c r="M12" s="276"/>
      <c r="N12" t="s" s="41">
        <v>31</v>
      </c>
      <c r="O12" s="283">
        <v>1</v>
      </c>
      <c r="P12" s="284">
        <v>11.93</v>
      </c>
      <c r="Q12" s="285">
        <v>0</v>
      </c>
      <c r="R12" s="285">
        <v>6.32</v>
      </c>
      <c r="S12" s="26"/>
      <c r="T12" s="6"/>
      <c r="U12" s="6"/>
      <c r="V12" s="6"/>
      <c r="W12" s="6"/>
      <c r="X12" s="6"/>
    </row>
    <row r="13" ht="13.55" customHeight="1">
      <c r="A13" t="s" s="41">
        <v>220</v>
      </c>
      <c r="B13" s="277">
        <v>0</v>
      </c>
      <c r="C13" s="248"/>
      <c r="D13" s="276"/>
      <c r="E13" t="s" s="286">
        <v>186</v>
      </c>
      <c r="F13" s="287"/>
      <c r="G13" s="287"/>
      <c r="H13" s="288"/>
      <c r="I13" s="282">
        <f>(I5+I6+I7+I9+I10+I11)*'maj_arvutused'!$O$11+(I8*'maj_arvutused'!$O$12)</f>
        <v>23.504</v>
      </c>
      <c r="J13" s="282">
        <f>(J5+J6+J7+J9+J10+J11)*'maj_arvutused'!$O$11+(J8*'maj_arvutused'!$O$12)</f>
        <v>19.388</v>
      </c>
      <c r="K13" s="248"/>
      <c r="L13" s="40"/>
      <c r="M13" s="276"/>
      <c r="N13" t="s" s="41">
        <v>221</v>
      </c>
      <c r="O13" s="283">
        <v>4</v>
      </c>
      <c r="P13" s="289">
        <v>0</v>
      </c>
      <c r="Q13" s="290">
        <v>88.08</v>
      </c>
      <c r="R13" s="291">
        <v>6.32</v>
      </c>
      <c r="S13" s="26"/>
      <c r="T13" s="6"/>
      <c r="U13" s="6"/>
      <c r="V13" s="6"/>
      <c r="W13" s="6"/>
      <c r="X13" s="6"/>
    </row>
    <row r="14" ht="13.55" customHeight="1">
      <c r="A14" t="s" s="41">
        <v>222</v>
      </c>
      <c r="B14" s="292">
        <v>0.293</v>
      </c>
      <c r="C14" t="s" s="293">
        <v>223</v>
      </c>
      <c r="D14" s="26"/>
      <c r="E14" s="81"/>
      <c r="F14" s="81"/>
      <c r="G14" s="81"/>
      <c r="H14" s="81"/>
      <c r="I14" s="294"/>
      <c r="J14" t="s" s="295">
        <v>224</v>
      </c>
      <c r="K14" s="296"/>
      <c r="L14" t="s" s="163">
        <v>225</v>
      </c>
      <c r="M14" s="297"/>
      <c r="N14" t="s" s="41">
        <v>226</v>
      </c>
      <c r="O14" s="283">
        <v>5</v>
      </c>
      <c r="P14" s="289">
        <v>11.93</v>
      </c>
      <c r="Q14" s="291">
        <v>0</v>
      </c>
      <c r="R14" s="291">
        <v>6.32</v>
      </c>
      <c r="S14" s="26"/>
      <c r="T14" s="6"/>
      <c r="U14" s="6"/>
      <c r="V14" s="6"/>
      <c r="W14" s="6"/>
      <c r="X14" s="6"/>
    </row>
    <row r="15" ht="26" customHeight="1">
      <c r="A15" t="s" s="298">
        <v>227</v>
      </c>
      <c r="B15" s="299">
        <v>0.089</v>
      </c>
      <c r="C15" t="s" s="300">
        <v>223</v>
      </c>
      <c r="D15" s="26"/>
      <c r="E15" s="40"/>
      <c r="F15" s="40"/>
      <c r="G15" s="40"/>
      <c r="H15" s="40"/>
      <c r="I15" s="301"/>
      <c r="J15" t="s" s="302">
        <v>228</v>
      </c>
      <c r="K15" s="303">
        <v>0</v>
      </c>
      <c r="L15" t="s" s="62">
        <v>229</v>
      </c>
      <c r="M15" s="26"/>
      <c r="N15" s="185"/>
      <c r="O15" s="185"/>
      <c r="P15" s="64"/>
      <c r="Q15" s="64"/>
      <c r="R15" s="64"/>
      <c r="S15" s="6"/>
      <c r="T15" s="6"/>
      <c r="U15" s="6"/>
      <c r="V15" s="6"/>
      <c r="W15" s="6"/>
      <c r="X15" s="6"/>
    </row>
    <row r="16" ht="29" customHeight="1">
      <c r="A16" t="s" s="304">
        <v>230</v>
      </c>
      <c r="B16" s="305">
        <v>0.256</v>
      </c>
      <c r="C16" s="306"/>
      <c r="D16" s="307"/>
      <c r="E16" t="s" s="308">
        <v>231</v>
      </c>
      <c r="F16" s="309"/>
      <c r="G16" s="309"/>
      <c r="H16" s="309"/>
      <c r="I16" s="310">
        <v>0.61</v>
      </c>
      <c r="J16" t="s" s="302">
        <v>232</v>
      </c>
      <c r="K16" s="303">
        <v>0</v>
      </c>
      <c r="L16" t="s" s="62">
        <v>229</v>
      </c>
      <c r="M16" s="311"/>
      <c r="N16" t="s" s="308">
        <v>233</v>
      </c>
      <c r="O16" s="312">
        <v>126.4</v>
      </c>
      <c r="P16" s="26"/>
      <c r="Q16" s="6"/>
      <c r="R16" s="6"/>
      <c r="S16" s="6"/>
      <c r="T16" s="6"/>
      <c r="U16" s="6"/>
      <c r="V16" s="6"/>
      <c r="W16" s="6"/>
      <c r="X16" s="6"/>
    </row>
    <row r="17" ht="29" customHeight="1">
      <c r="A17" s="161"/>
      <c r="B17" s="161"/>
      <c r="C17" s="6"/>
      <c r="D17" s="307"/>
      <c r="E17" t="s" s="308">
        <v>234</v>
      </c>
      <c r="F17" s="309"/>
      <c r="G17" s="309"/>
      <c r="H17" s="309"/>
      <c r="I17" s="310">
        <v>0.59</v>
      </c>
      <c r="J17" t="s" s="302">
        <v>235</v>
      </c>
      <c r="K17" s="303">
        <v>10000</v>
      </c>
      <c r="L17" t="s" s="62">
        <v>236</v>
      </c>
      <c r="M17" s="26"/>
      <c r="N17" s="64"/>
      <c r="O17" s="64"/>
      <c r="P17" s="6"/>
      <c r="Q17" s="6"/>
      <c r="R17" s="6"/>
      <c r="S17" s="6"/>
      <c r="T17" s="6"/>
      <c r="U17" s="6"/>
      <c r="V17" s="6"/>
      <c r="W17" s="6"/>
      <c r="X17" s="6"/>
    </row>
    <row r="18" ht="28.35" customHeight="1">
      <c r="A18" t="s" s="304">
        <v>237</v>
      </c>
      <c r="B18" t="s" s="308">
        <v>238</v>
      </c>
      <c r="C18" s="26"/>
      <c r="D18" s="6"/>
      <c r="E18" s="161"/>
      <c r="F18" s="161"/>
      <c r="G18" s="161"/>
      <c r="H18" s="161"/>
      <c r="I18" s="313"/>
      <c r="J18" t="s" s="302">
        <v>239</v>
      </c>
      <c r="K18" s="303">
        <v>20000</v>
      </c>
      <c r="L18" t="s" s="62">
        <v>240</v>
      </c>
      <c r="M18" s="26"/>
      <c r="N18" s="6"/>
      <c r="O18" s="6"/>
      <c r="P18" s="6"/>
      <c r="Q18" s="6"/>
      <c r="R18" s="6"/>
      <c r="S18" s="6"/>
      <c r="T18" s="6"/>
      <c r="U18" s="6"/>
      <c r="V18" s="6"/>
      <c r="W18" s="6"/>
      <c r="X18" s="6"/>
    </row>
    <row r="19" ht="30" customHeight="1">
      <c r="A19" s="314">
        <f>VLOOKUP('Sisend'!B7,N12:O14,2,FALSE)</f>
        <v>1</v>
      </c>
      <c r="B19" s="315">
        <f>IF((A19=1),1,2)</f>
        <v>1</v>
      </c>
      <c r="C19" s="26"/>
      <c r="D19" s="307"/>
      <c r="E19" t="s" s="308">
        <v>241</v>
      </c>
      <c r="F19" s="309"/>
      <c r="G19" s="309"/>
      <c r="H19" s="309"/>
      <c r="I19" s="310">
        <v>0.16</v>
      </c>
      <c r="J19" t="s" s="302">
        <v>37</v>
      </c>
      <c r="K19" s="303">
        <v>50000</v>
      </c>
      <c r="L19" t="s" s="62">
        <v>100</v>
      </c>
      <c r="M19" s="26"/>
      <c r="N19" s="6"/>
      <c r="O19" s="6"/>
      <c r="P19" s="6"/>
      <c r="Q19" s="6"/>
      <c r="R19" s="6"/>
      <c r="S19" s="6"/>
      <c r="T19" s="6"/>
      <c r="U19" s="6"/>
      <c r="V19" s="6"/>
      <c r="W19" s="6"/>
      <c r="X19" s="6"/>
    </row>
    <row r="20" ht="28.35" customHeight="1">
      <c r="A20" s="6"/>
      <c r="B20" s="64"/>
      <c r="C20" s="6"/>
      <c r="D20" s="307"/>
      <c r="E20" t="s" s="308">
        <v>242</v>
      </c>
      <c r="F20" s="309"/>
      <c r="G20" s="309"/>
      <c r="H20" s="309"/>
      <c r="I20" s="310">
        <v>0.34</v>
      </c>
      <c r="J20" t="s" s="302">
        <v>243</v>
      </c>
      <c r="K20" s="303">
        <f>K19*2</f>
        <v>100000</v>
      </c>
      <c r="L20" t="s" s="62">
        <v>244</v>
      </c>
      <c r="M20" s="26"/>
      <c r="N20" s="6"/>
      <c r="O20" s="6"/>
      <c r="P20" s="6"/>
      <c r="Q20" s="6"/>
      <c r="R20" s="6"/>
      <c r="S20" s="6"/>
      <c r="T20" s="6"/>
      <c r="U20" s="6"/>
      <c r="V20" s="6"/>
      <c r="W20" s="6"/>
      <c r="X20" s="6"/>
    </row>
    <row r="21" ht="28.5" customHeight="1">
      <c r="A21" s="6"/>
      <c r="B21" s="6"/>
      <c r="C21" s="6"/>
      <c r="D21" s="6"/>
      <c r="E21" s="64"/>
      <c r="F21" s="64"/>
      <c r="G21" s="64"/>
      <c r="H21" s="64"/>
      <c r="I21" s="316"/>
      <c r="J21" t="s" s="302">
        <v>92</v>
      </c>
      <c r="K21" s="303">
        <f>K20*2</f>
        <v>200000</v>
      </c>
      <c r="L21" t="s" s="62">
        <v>245</v>
      </c>
      <c r="M21" s="26"/>
      <c r="N21" s="6"/>
      <c r="O21" s="6"/>
      <c r="P21" s="6"/>
      <c r="Q21" s="6"/>
      <c r="R21" s="6"/>
      <c r="S21" s="6"/>
      <c r="T21" s="6"/>
      <c r="U21" s="6"/>
      <c r="V21" s="6"/>
      <c r="W21" s="6"/>
      <c r="X21" s="6"/>
    </row>
    <row r="22" ht="28.5" customHeight="1">
      <c r="A22" s="6"/>
      <c r="B22" s="6"/>
      <c r="C22" s="6"/>
      <c r="D22" s="6"/>
      <c r="E22" s="6"/>
      <c r="F22" s="6"/>
      <c r="G22" s="6"/>
      <c r="H22" s="6"/>
      <c r="I22" s="276"/>
      <c r="J22" t="s" s="302">
        <v>246</v>
      </c>
      <c r="K22" s="303">
        <v>500000</v>
      </c>
      <c r="L22" t="s" s="62">
        <v>245</v>
      </c>
      <c r="M22" s="26"/>
      <c r="N22" s="6"/>
      <c r="O22" s="6"/>
      <c r="P22" s="6"/>
      <c r="Q22" s="6"/>
      <c r="R22" s="6"/>
      <c r="S22" s="6"/>
      <c r="T22" s="6"/>
      <c r="U22" s="6"/>
      <c r="V22" s="6"/>
      <c r="W22" s="6"/>
      <c r="X22" s="6"/>
    </row>
    <row r="23" ht="29.25" customHeight="1">
      <c r="A23" t="s" s="37">
        <v>247</v>
      </c>
      <c r="B23" s="6"/>
      <c r="C23" s="6"/>
      <c r="D23" s="6"/>
      <c r="E23" s="6"/>
      <c r="F23" s="6"/>
      <c r="G23" s="6"/>
      <c r="H23" s="6"/>
      <c r="I23" s="276"/>
      <c r="J23" t="s" s="317">
        <v>248</v>
      </c>
      <c r="K23" s="318">
        <f>_xlfn.XLOOKUP('Sisend'!B10,J15:J22,K15:K22)</f>
        <v>50000</v>
      </c>
      <c r="L23" s="319"/>
      <c r="M23" s="40"/>
      <c r="N23" s="6"/>
      <c r="O23" s="6"/>
      <c r="P23" s="67"/>
      <c r="Q23" s="67"/>
      <c r="R23" s="67"/>
      <c r="S23" s="67"/>
      <c r="T23" s="67"/>
      <c r="U23" s="67"/>
      <c r="V23" s="6"/>
      <c r="W23" s="6"/>
      <c r="X23" s="6"/>
    </row>
    <row r="24" ht="42.75" customHeight="1">
      <c r="A24" s="67"/>
      <c r="B24" s="67"/>
      <c r="C24" s="67"/>
      <c r="D24" s="6"/>
      <c r="E24" s="6"/>
      <c r="F24" s="6"/>
      <c r="G24" s="6"/>
      <c r="H24" s="6"/>
      <c r="I24" s="307"/>
      <c r="J24" t="s" s="320">
        <v>249</v>
      </c>
      <c r="K24" t="s" s="320">
        <v>250</v>
      </c>
      <c r="L24" t="s" s="320">
        <v>251</v>
      </c>
      <c r="M24" t="s" s="320">
        <v>118</v>
      </c>
      <c r="N24" s="26"/>
      <c r="O24" s="276"/>
      <c r="P24" t="s" s="213">
        <v>252</v>
      </c>
      <c r="Q24" t="s" s="51">
        <v>253</v>
      </c>
      <c r="R24" t="s" s="51">
        <v>254</v>
      </c>
      <c r="S24" t="s" s="51">
        <v>255</v>
      </c>
      <c r="T24" t="s" s="51">
        <v>256</v>
      </c>
      <c r="U24" s="321">
        <f>VLOOKUP('Sisend'!B7,P25:T27,5,FALSE)</f>
        <v>1</v>
      </c>
      <c r="V24" s="11"/>
      <c r="W24" s="6"/>
      <c r="X24" s="6"/>
    </row>
    <row r="25" ht="13.55" customHeight="1">
      <c r="A25" t="s" s="41">
        <v>257</v>
      </c>
      <c r="B25" s="322">
        <f>VLOOKUP('Sisend'!C45,P32:U38,6,FALSE)</f>
        <v>4</v>
      </c>
      <c r="C25" t="s" s="323">
        <f>VLOOKUP(B25,O32:P38,2,FALSE)</f>
        <v>37</v>
      </c>
      <c r="D25" s="11"/>
      <c r="E25" s="6"/>
      <c r="F25" s="6"/>
      <c r="G25" s="6"/>
      <c r="H25" s="324"/>
      <c r="I25" s="307"/>
      <c r="J25" t="s" s="163">
        <v>258</v>
      </c>
      <c r="K25" t="s" s="325">
        <v>259</v>
      </c>
      <c r="L25" s="326">
        <v>1</v>
      </c>
      <c r="M25" s="327">
        <v>4</v>
      </c>
      <c r="N25" s="26"/>
      <c r="O25" s="276"/>
      <c r="P25" t="s" s="41">
        <f>N12</f>
        <v>31</v>
      </c>
      <c r="Q25" s="328">
        <v>0.9</v>
      </c>
      <c r="R25" s="328">
        <v>2</v>
      </c>
      <c r="S25" s="328">
        <v>0</v>
      </c>
      <c r="T25" s="269">
        <v>1</v>
      </c>
      <c r="U25" s="328">
        <v>10</v>
      </c>
      <c r="V25" s="11"/>
      <c r="W25" s="6"/>
      <c r="X25" s="6"/>
    </row>
    <row r="26" ht="13.55" customHeight="1">
      <c r="A26" t="s" s="41">
        <v>260</v>
      </c>
      <c r="B26" s="322">
        <f>VLOOKUP('Sisend'!C46,P32:U38,6,FALSE)</f>
        <v>6</v>
      </c>
      <c r="C26" t="s" s="323">
        <f>VLOOKUP(B26,O33:P39,2,FALSE)</f>
        <v>92</v>
      </c>
      <c r="D26" s="11"/>
      <c r="E26" s="6"/>
      <c r="F26" s="6"/>
      <c r="G26" s="6"/>
      <c r="H26" s="324"/>
      <c r="I26" s="307"/>
      <c r="J26" t="s" s="163">
        <v>261</v>
      </c>
      <c r="K26" t="s" s="325">
        <v>259</v>
      </c>
      <c r="L26" s="326">
        <v>1</v>
      </c>
      <c r="M26" s="327">
        <v>4</v>
      </c>
      <c r="N26" s="26"/>
      <c r="O26" s="276"/>
      <c r="P26" t="s" s="41">
        <f>N13</f>
        <v>221</v>
      </c>
      <c r="Q26" s="328">
        <v>1</v>
      </c>
      <c r="R26" s="328">
        <v>3</v>
      </c>
      <c r="S26" s="328">
        <v>1</v>
      </c>
      <c r="T26" s="269">
        <v>4</v>
      </c>
      <c r="U26" s="328">
        <v>4</v>
      </c>
      <c r="V26" s="11"/>
      <c r="W26" s="6"/>
      <c r="X26" s="6"/>
    </row>
    <row r="27" ht="13.55" customHeight="1">
      <c r="A27" t="s" s="41">
        <v>262</v>
      </c>
      <c r="B27" s="322">
        <f>VLOOKUP('Sisend'!B10,P31:U38,6,FALSE)</f>
        <v>4</v>
      </c>
      <c r="C27" t="s" s="323">
        <f>VLOOKUP(B27,O31:P38,2,FALSE)</f>
        <v>37</v>
      </c>
      <c r="D27" s="11"/>
      <c r="E27" s="6"/>
      <c r="F27" s="6"/>
      <c r="G27" s="6"/>
      <c r="H27" s="329"/>
      <c r="I27" s="307"/>
      <c r="J27" t="s" s="163">
        <v>263</v>
      </c>
      <c r="K27" t="s" s="325">
        <v>259</v>
      </c>
      <c r="L27" s="326">
        <v>1</v>
      </c>
      <c r="M27" s="327">
        <v>4</v>
      </c>
      <c r="N27" s="26"/>
      <c r="O27" s="276"/>
      <c r="P27" t="s" s="41">
        <f>N14</f>
        <v>226</v>
      </c>
      <c r="Q27" s="328">
        <v>0.75</v>
      </c>
      <c r="R27" s="328">
        <v>1</v>
      </c>
      <c r="S27" s="328">
        <v>-1</v>
      </c>
      <c r="T27" s="269">
        <v>5</v>
      </c>
      <c r="U27" s="328">
        <v>25</v>
      </c>
      <c r="V27" s="248"/>
      <c r="W27" s="40"/>
      <c r="X27" s="40"/>
    </row>
    <row r="28" ht="13.55" customHeight="1">
      <c r="A28" t="s" s="41">
        <v>254</v>
      </c>
      <c r="B28" s="322">
        <f>VLOOKUP('Sisend'!B7,P25:R27,3,FALSE)</f>
        <v>2</v>
      </c>
      <c r="C28" s="109"/>
      <c r="D28" s="6"/>
      <c r="E28" s="6"/>
      <c r="F28" s="6"/>
      <c r="G28" s="67"/>
      <c r="H28" s="67"/>
      <c r="I28" s="307"/>
      <c r="J28" t="s" s="163">
        <v>264</v>
      </c>
      <c r="K28" t="s" s="325">
        <v>259</v>
      </c>
      <c r="L28" s="326">
        <v>1</v>
      </c>
      <c r="M28" s="327">
        <v>3</v>
      </c>
      <c r="N28" s="26"/>
      <c r="O28" s="6"/>
      <c r="P28" s="81"/>
      <c r="Q28" s="81"/>
      <c r="R28" s="81"/>
      <c r="S28" s="81"/>
      <c r="T28" s="110"/>
      <c r="U28" s="330">
        <f>VLOOKUP('Sisend'!B7,P25:U27,6,FALSE)</f>
        <v>10</v>
      </c>
      <c r="V28" t="s" s="49">
        <v>265</v>
      </c>
      <c r="W28" s="50"/>
      <c r="X28" s="331"/>
    </row>
    <row r="29" ht="13.55" customHeight="1">
      <c r="A29" t="s" s="41">
        <v>255</v>
      </c>
      <c r="B29" s="322">
        <f>VLOOKUP('Sisend'!B7,P25:S27,4,FALSE)</f>
        <v>0</v>
      </c>
      <c r="C29" s="11"/>
      <c r="D29" s="6"/>
      <c r="E29" s="6"/>
      <c r="F29" s="276"/>
      <c r="G29" t="s" s="41">
        <v>35</v>
      </c>
      <c r="H29" s="269">
        <v>1</v>
      </c>
      <c r="I29" s="332"/>
      <c r="J29" t="s" s="163">
        <v>266</v>
      </c>
      <c r="K29" t="s" s="325">
        <v>259</v>
      </c>
      <c r="L29" s="326">
        <v>1</v>
      </c>
      <c r="M29" s="327">
        <v>1</v>
      </c>
      <c r="N29" s="26"/>
      <c r="O29" s="67"/>
      <c r="P29" s="67"/>
      <c r="Q29" s="67"/>
      <c r="R29" s="67"/>
      <c r="S29" s="67"/>
      <c r="T29" s="67"/>
      <c r="U29" s="105"/>
      <c r="V29" s="64"/>
      <c r="W29" s="64"/>
      <c r="X29" s="64"/>
    </row>
    <row r="30" ht="13.55" customHeight="1">
      <c r="A30" t="s" s="41">
        <v>253</v>
      </c>
      <c r="B30" s="322">
        <f>VLOOKUP('Sisend'!B7,P25:Q27,2,FALSE)</f>
        <v>0.9</v>
      </c>
      <c r="C30" s="11"/>
      <c r="D30" s="6"/>
      <c r="E30" s="6"/>
      <c r="F30" s="276"/>
      <c r="G30" t="s" s="41">
        <v>267</v>
      </c>
      <c r="H30" s="269">
        <v>0</v>
      </c>
      <c r="I30" s="332"/>
      <c r="J30" t="s" s="163">
        <v>268</v>
      </c>
      <c r="K30" t="s" s="325">
        <v>269</v>
      </c>
      <c r="L30" s="326">
        <v>2</v>
      </c>
      <c r="M30" s="327">
        <v>0</v>
      </c>
      <c r="N30" s="297"/>
      <c r="O30" t="s" s="333">
        <v>256</v>
      </c>
      <c r="P30" t="s" s="41">
        <v>270</v>
      </c>
      <c r="Q30" t="s" s="41">
        <v>271</v>
      </c>
      <c r="R30" t="s" s="41">
        <v>272</v>
      </c>
      <c r="S30" t="s" s="41">
        <v>273</v>
      </c>
      <c r="T30" t="s" s="41">
        <v>274</v>
      </c>
      <c r="U30" t="s" s="333">
        <v>256</v>
      </c>
      <c r="V30" s="11"/>
      <c r="W30" s="6"/>
      <c r="X30" s="6"/>
    </row>
    <row r="31" ht="13.55" customHeight="1">
      <c r="A31" t="s" s="41">
        <v>275</v>
      </c>
      <c r="B31" s="334">
        <f>VLOOKUP('Sisend'!B8,'KOV-id'!B4:C83,2,FALSE)</f>
        <v>30191</v>
      </c>
      <c r="C31" s="11"/>
      <c r="D31" s="6"/>
      <c r="E31" s="6"/>
      <c r="F31" s="307"/>
      <c r="G31" t="s" s="335">
        <v>276</v>
      </c>
      <c r="H31" s="330">
        <f>VLOOKUP('Sisend'!B9,G29:H30,2,FALSE)</f>
        <v>1</v>
      </c>
      <c r="I31" s="332"/>
      <c r="J31" t="s" s="163">
        <v>40</v>
      </c>
      <c r="K31" t="s" s="325">
        <v>269</v>
      </c>
      <c r="L31" s="326">
        <v>2</v>
      </c>
      <c r="M31" s="327">
        <v>-1</v>
      </c>
      <c r="N31" s="297"/>
      <c r="O31" s="336">
        <v>0</v>
      </c>
      <c r="P31" t="s" s="41">
        <v>228</v>
      </c>
      <c r="Q31" s="328">
        <v>0</v>
      </c>
      <c r="R31" s="328">
        <v>0</v>
      </c>
      <c r="S31" s="328">
        <v>0</v>
      </c>
      <c r="T31" s="328">
        <v>0</v>
      </c>
      <c r="U31" s="336">
        <v>0</v>
      </c>
      <c r="V31" s="11"/>
      <c r="W31" s="6"/>
      <c r="X31" s="6"/>
    </row>
    <row r="32" ht="13.55" customHeight="1">
      <c r="A32" s="79"/>
      <c r="B32" s="109"/>
      <c r="C32" s="6"/>
      <c r="D32" s="6"/>
      <c r="E32" s="6"/>
      <c r="F32" s="6"/>
      <c r="G32" s="64"/>
      <c r="H32" s="81"/>
      <c r="I32" s="307"/>
      <c r="J32" t="s" s="163">
        <v>277</v>
      </c>
      <c r="K32" t="s" s="325">
        <v>269</v>
      </c>
      <c r="L32" s="326">
        <v>2</v>
      </c>
      <c r="M32" s="327">
        <v>0</v>
      </c>
      <c r="N32" s="297"/>
      <c r="O32" s="336">
        <v>1</v>
      </c>
      <c r="P32" t="s" s="41">
        <v>232</v>
      </c>
      <c r="Q32" s="328">
        <v>0</v>
      </c>
      <c r="R32" s="328">
        <v>0</v>
      </c>
      <c r="S32" s="328">
        <v>0</v>
      </c>
      <c r="T32" s="328">
        <v>0</v>
      </c>
      <c r="U32" s="336">
        <v>1</v>
      </c>
      <c r="V32" s="11"/>
      <c r="W32" s="6"/>
      <c r="X32" s="6"/>
    </row>
    <row r="33" ht="13.55" customHeight="1">
      <c r="A33" s="67"/>
      <c r="B33" s="67"/>
      <c r="C33" s="6"/>
      <c r="D33" s="6"/>
      <c r="E33" s="6"/>
      <c r="F33" s="6"/>
      <c r="G33" s="6"/>
      <c r="H33" s="6"/>
      <c r="I33" s="307"/>
      <c r="J33" t="s" s="163">
        <v>278</v>
      </c>
      <c r="K33" t="s" s="325">
        <v>259</v>
      </c>
      <c r="L33" s="326">
        <v>1</v>
      </c>
      <c r="M33" s="327">
        <v>1</v>
      </c>
      <c r="N33" s="297"/>
      <c r="O33" s="336">
        <v>2</v>
      </c>
      <c r="P33" t="s" s="41">
        <v>235</v>
      </c>
      <c r="Q33" s="328">
        <v>0</v>
      </c>
      <c r="R33" s="328">
        <v>0</v>
      </c>
      <c r="S33" s="328">
        <v>0</v>
      </c>
      <c r="T33" s="328">
        <v>0</v>
      </c>
      <c r="U33" s="336">
        <v>2</v>
      </c>
      <c r="V33" s="11"/>
      <c r="W33" s="6"/>
      <c r="X33" s="6"/>
    </row>
    <row r="34" ht="13.55" customHeight="1">
      <c r="A34" t="s" s="41">
        <v>279</v>
      </c>
      <c r="B34" t="s" s="41">
        <v>53</v>
      </c>
      <c r="C34" s="11"/>
      <c r="D34" s="6"/>
      <c r="E34" s="6"/>
      <c r="F34" s="6"/>
      <c r="G34" s="6"/>
      <c r="H34" s="6"/>
      <c r="I34" s="307"/>
      <c r="J34" t="s" s="163">
        <v>280</v>
      </c>
      <c r="K34" t="s" s="325">
        <v>259</v>
      </c>
      <c r="L34" s="326">
        <v>1</v>
      </c>
      <c r="M34" s="327">
        <v>2</v>
      </c>
      <c r="N34" s="297"/>
      <c r="O34" s="336">
        <v>3</v>
      </c>
      <c r="P34" t="s" s="41">
        <v>239</v>
      </c>
      <c r="Q34" s="328">
        <v>3</v>
      </c>
      <c r="R34" s="328">
        <v>3</v>
      </c>
      <c r="S34" s="328">
        <v>3</v>
      </c>
      <c r="T34" s="328">
        <v>3</v>
      </c>
      <c r="U34" s="336">
        <v>3</v>
      </c>
      <c r="V34" s="11"/>
      <c r="W34" s="6"/>
      <c r="X34" s="6"/>
    </row>
    <row r="35" ht="13.55" customHeight="1">
      <c r="A35" s="330">
        <f>IF('Sisend'!D15&lt;100,2,IF('Sisend'!D15&lt;250,3,IF('Sisend'!D15&lt;500,4,IF('Sisend'!D15&lt;2500,5,IF('Sisend'!D15&gt;=2500,6)))))</f>
        <v>4</v>
      </c>
      <c r="B35" s="330">
        <f>A35+C39</f>
        <v>5</v>
      </c>
      <c r="C35" s="11"/>
      <c r="D35" s="6"/>
      <c r="E35" s="6"/>
      <c r="F35" s="6"/>
      <c r="G35" s="6"/>
      <c r="H35" s="6"/>
      <c r="I35" s="307"/>
      <c r="J35" t="s" s="163">
        <v>281</v>
      </c>
      <c r="K35" t="s" s="325">
        <v>259</v>
      </c>
      <c r="L35" s="326">
        <v>1</v>
      </c>
      <c r="M35" s="327">
        <v>3</v>
      </c>
      <c r="N35" s="297"/>
      <c r="O35" s="336">
        <v>4</v>
      </c>
      <c r="P35" t="s" s="41">
        <v>37</v>
      </c>
      <c r="Q35" s="328">
        <v>4</v>
      </c>
      <c r="R35" s="328">
        <v>4</v>
      </c>
      <c r="S35" s="328">
        <v>4</v>
      </c>
      <c r="T35" s="328">
        <v>4</v>
      </c>
      <c r="U35" s="336">
        <v>4</v>
      </c>
      <c r="V35" s="11"/>
      <c r="W35" s="6"/>
      <c r="X35" s="6"/>
    </row>
    <row r="36" ht="13.55" customHeight="1">
      <c r="A36" s="105"/>
      <c r="B36" s="105"/>
      <c r="C36" s="67"/>
      <c r="D36" s="6"/>
      <c r="E36" s="6"/>
      <c r="F36" s="6"/>
      <c r="G36" s="6"/>
      <c r="H36" s="6"/>
      <c r="I36" s="307"/>
      <c r="J36" t="s" s="163">
        <v>282</v>
      </c>
      <c r="K36" t="s" s="325">
        <v>259</v>
      </c>
      <c r="L36" s="326">
        <v>1</v>
      </c>
      <c r="M36" s="327">
        <v>2</v>
      </c>
      <c r="N36" s="297"/>
      <c r="O36" s="336">
        <v>5</v>
      </c>
      <c r="P36" t="s" s="41">
        <v>243</v>
      </c>
      <c r="Q36" s="328">
        <v>5</v>
      </c>
      <c r="R36" s="328">
        <v>5</v>
      </c>
      <c r="S36" s="328">
        <v>5</v>
      </c>
      <c r="T36" s="328">
        <v>5</v>
      </c>
      <c r="U36" s="336">
        <v>5</v>
      </c>
      <c r="V36" s="11"/>
      <c r="W36" s="6"/>
      <c r="X36" s="6"/>
    </row>
    <row r="37" ht="13.55" customHeight="1">
      <c r="A37" t="s" s="41">
        <v>283</v>
      </c>
      <c r="B37" t="s" s="41">
        <v>35</v>
      </c>
      <c r="C37" s="328">
        <v>1</v>
      </c>
      <c r="D37" s="11"/>
      <c r="E37" s="6"/>
      <c r="F37" s="6"/>
      <c r="G37" s="6"/>
      <c r="H37" s="6"/>
      <c r="I37" s="6"/>
      <c r="J37" s="161"/>
      <c r="K37" s="337"/>
      <c r="L37" s="161"/>
      <c r="M37" s="161"/>
      <c r="N37" s="276"/>
      <c r="O37" s="336">
        <v>6</v>
      </c>
      <c r="P37" t="s" s="41">
        <v>92</v>
      </c>
      <c r="Q37" s="328">
        <v>6</v>
      </c>
      <c r="R37" s="328">
        <v>6</v>
      </c>
      <c r="S37" s="328">
        <v>6</v>
      </c>
      <c r="T37" s="328">
        <v>6</v>
      </c>
      <c r="U37" s="336">
        <v>6</v>
      </c>
      <c r="V37" s="11"/>
      <c r="W37" s="6"/>
      <c r="X37" s="6"/>
    </row>
    <row r="38" ht="13.55" customHeight="1">
      <c r="A38" s="338"/>
      <c r="B38" t="s" s="41">
        <v>267</v>
      </c>
      <c r="C38" s="328">
        <v>0</v>
      </c>
      <c r="D38" s="11"/>
      <c r="E38" s="6"/>
      <c r="F38" s="6"/>
      <c r="G38" s="6"/>
      <c r="H38" s="6"/>
      <c r="I38" s="307"/>
      <c r="J38" t="s" s="163">
        <v>284</v>
      </c>
      <c r="K38" t="s" s="339">
        <f>_xlfn.XLOOKUP('Sisend'!B11,J25:J36,K25:K36,"midagi on valesti")</f>
        <v>285</v>
      </c>
      <c r="L38" s="340">
        <f>_xlfn.XLOOKUP('Sisend'!B11,J25:J36,L25:L36,"midagi on valesti")</f>
        <v>2</v>
      </c>
      <c r="M38" s="341">
        <f>_xlfn.XLOOKUP('Sisend'!B11,J25:J36,M25:M36,"Midagi on valesti.")</f>
        <v>-1</v>
      </c>
      <c r="N38" s="297"/>
      <c r="O38" s="336">
        <v>7</v>
      </c>
      <c r="P38" t="s" s="41">
        <v>246</v>
      </c>
      <c r="Q38" s="328">
        <v>7</v>
      </c>
      <c r="R38" s="328">
        <v>7</v>
      </c>
      <c r="S38" s="328">
        <v>7</v>
      </c>
      <c r="T38" s="328">
        <v>7</v>
      </c>
      <c r="U38" s="336">
        <v>7</v>
      </c>
      <c r="V38" s="11"/>
      <c r="W38" s="6"/>
      <c r="X38" s="6"/>
    </row>
    <row r="39" ht="13.55" customHeight="1">
      <c r="A39" s="64"/>
      <c r="B39" s="110"/>
      <c r="C39" s="342">
        <f>VLOOKUP('Sisend'!B9,B37:C38,2,FALSE)</f>
        <v>1</v>
      </c>
      <c r="D39" s="11"/>
      <c r="E39" s="6"/>
      <c r="F39" s="6"/>
      <c r="G39" s="6"/>
      <c r="H39" s="6"/>
      <c r="I39" s="6"/>
      <c r="J39" s="64"/>
      <c r="K39" s="64"/>
      <c r="L39" s="64"/>
      <c r="M39" s="64"/>
      <c r="N39" s="6"/>
      <c r="O39" s="110"/>
      <c r="P39" t="s" s="213">
        <v>286</v>
      </c>
      <c r="Q39" t="s" s="41">
        <v>271</v>
      </c>
      <c r="R39" t="s" s="41">
        <v>272</v>
      </c>
      <c r="S39" t="s" s="41">
        <v>273</v>
      </c>
      <c r="T39" t="s" s="41">
        <v>274</v>
      </c>
      <c r="U39" s="109"/>
      <c r="V39" s="6"/>
      <c r="W39" s="6"/>
      <c r="X39" s="6"/>
    </row>
    <row r="40" ht="13.55" customHeight="1">
      <c r="A40" s="67"/>
      <c r="B40" s="343"/>
      <c r="C40" s="64"/>
      <c r="D40" s="6"/>
      <c r="E40" t="s" s="19">
        <v>10</v>
      </c>
      <c r="F40" s="6"/>
      <c r="G40" s="6"/>
      <c r="H40" s="6"/>
      <c r="I40" s="6"/>
      <c r="J40" s="6"/>
      <c r="K40" s="6"/>
      <c r="L40" s="6"/>
      <c r="M40" s="6"/>
      <c r="N40" s="6"/>
      <c r="O40" s="307"/>
      <c r="P40" t="s" s="107">
        <v>228</v>
      </c>
      <c r="Q40" s="328">
        <v>0</v>
      </c>
      <c r="R40" s="328">
        <v>0</v>
      </c>
      <c r="S40" s="328">
        <v>0</v>
      </c>
      <c r="T40" s="328">
        <v>0</v>
      </c>
      <c r="U40" s="11"/>
      <c r="V40" s="6"/>
      <c r="W40" s="6"/>
      <c r="X40" s="6"/>
    </row>
    <row r="41" ht="13.55" customHeight="1">
      <c r="A41" t="s" s="41">
        <v>287</v>
      </c>
      <c r="B41" s="344">
        <f>IF('Sisend'!B7="Kultuurisündmus",5575.2*EXP(0.0005*'Sisend'!D15),21601)</f>
        <v>6542.557807953540</v>
      </c>
      <c r="C41" s="11"/>
      <c r="D41" s="6"/>
      <c r="E41" s="6"/>
      <c r="F41" s="6"/>
      <c r="G41" s="6"/>
      <c r="H41" s="6"/>
      <c r="I41" s="6"/>
      <c r="J41" s="6"/>
      <c r="K41" s="6"/>
      <c r="L41" s="6"/>
      <c r="M41" s="6"/>
      <c r="N41" s="6"/>
      <c r="O41" s="276"/>
      <c r="P41" t="s" s="41">
        <v>232</v>
      </c>
      <c r="Q41" s="328">
        <v>0</v>
      </c>
      <c r="R41" s="328">
        <v>0</v>
      </c>
      <c r="S41" s="328">
        <v>0</v>
      </c>
      <c r="T41" s="328">
        <v>0</v>
      </c>
      <c r="U41" s="11"/>
      <c r="V41" s="6"/>
      <c r="W41" s="6"/>
      <c r="X41" s="6"/>
    </row>
    <row r="42" ht="13.55" customHeight="1">
      <c r="A42" t="s" s="41">
        <v>288</v>
      </c>
      <c r="B42" s="345">
        <f>'Sisend'!B5*U28</f>
        <v>40000</v>
      </c>
      <c r="C42" s="11"/>
      <c r="D42" s="6"/>
      <c r="E42" s="6"/>
      <c r="F42" s="6"/>
      <c r="G42" s="6"/>
      <c r="H42" s="6"/>
      <c r="I42" s="6"/>
      <c r="J42" s="6"/>
      <c r="K42" s="6"/>
      <c r="L42" s="6"/>
      <c r="M42" s="6"/>
      <c r="N42" s="6"/>
      <c r="O42" s="276"/>
      <c r="P42" t="s" s="41">
        <v>235</v>
      </c>
      <c r="Q42" s="328">
        <v>2</v>
      </c>
      <c r="R42" s="328">
        <v>2</v>
      </c>
      <c r="S42" s="328">
        <v>2</v>
      </c>
      <c r="T42" s="328">
        <v>2</v>
      </c>
      <c r="U42" s="11"/>
      <c r="V42" s="6"/>
      <c r="W42" s="6"/>
      <c r="X42" s="6"/>
    </row>
    <row r="43" ht="13.55" customHeight="1">
      <c r="A43" s="185"/>
      <c r="B43" s="185"/>
      <c r="C43" s="6"/>
      <c r="D43" s="6"/>
      <c r="E43" s="6"/>
      <c r="F43" s="6"/>
      <c r="G43" s="6"/>
      <c r="H43" s="6"/>
      <c r="I43" s="6"/>
      <c r="J43" s="6"/>
      <c r="K43" s="6"/>
      <c r="L43" s="6"/>
      <c r="M43" s="6"/>
      <c r="N43" s="6"/>
      <c r="O43" s="276"/>
      <c r="P43" t="s" s="41">
        <v>239</v>
      </c>
      <c r="Q43" s="328">
        <v>3</v>
      </c>
      <c r="R43" s="328">
        <v>3</v>
      </c>
      <c r="S43" s="328">
        <v>3</v>
      </c>
      <c r="T43" s="328">
        <v>3</v>
      </c>
      <c r="U43" s="11"/>
      <c r="V43" s="6"/>
      <c r="W43" s="6"/>
      <c r="X43" s="6"/>
    </row>
    <row r="44" ht="13.55" customHeight="1">
      <c r="A44" t="s" s="346">
        <v>289</v>
      </c>
      <c r="B44" s="296"/>
      <c r="C44" s="26"/>
      <c r="D44" s="6"/>
      <c r="E44" s="6"/>
      <c r="F44" s="6"/>
      <c r="G44" s="6"/>
      <c r="H44" s="6"/>
      <c r="I44" s="6"/>
      <c r="J44" s="6"/>
      <c r="K44" s="6"/>
      <c r="L44" s="6"/>
      <c r="M44" s="6"/>
      <c r="N44" s="6"/>
      <c r="O44" s="276"/>
      <c r="P44" t="s" s="41">
        <v>37</v>
      </c>
      <c r="Q44" s="328">
        <v>4</v>
      </c>
      <c r="R44" s="328">
        <v>4</v>
      </c>
      <c r="S44" s="328">
        <v>4</v>
      </c>
      <c r="T44" s="328">
        <v>4</v>
      </c>
      <c r="U44" s="11"/>
      <c r="V44" s="6"/>
      <c r="W44" s="6"/>
      <c r="X44" s="6"/>
    </row>
    <row r="45" ht="13.55" customHeight="1">
      <c r="A45" s="347">
        <v>-1</v>
      </c>
      <c r="B45" t="s" s="348">
        <v>120</v>
      </c>
      <c r="C45" s="26"/>
      <c r="D45" s="6"/>
      <c r="E45" s="6"/>
      <c r="F45" s="6"/>
      <c r="G45" s="6"/>
      <c r="H45" s="6"/>
      <c r="I45" s="6"/>
      <c r="J45" s="6"/>
      <c r="K45" s="6"/>
      <c r="L45" s="6"/>
      <c r="M45" s="6"/>
      <c r="N45" s="6"/>
      <c r="O45" s="276"/>
      <c r="P45" t="s" s="41">
        <v>243</v>
      </c>
      <c r="Q45" s="328">
        <v>5</v>
      </c>
      <c r="R45" s="328">
        <v>5</v>
      </c>
      <c r="S45" s="328">
        <v>5</v>
      </c>
      <c r="T45" s="328">
        <v>5</v>
      </c>
      <c r="U45" s="11"/>
      <c r="V45" s="6"/>
      <c r="W45" s="6"/>
      <c r="X45" s="6"/>
    </row>
    <row r="46" ht="13.55" customHeight="1">
      <c r="A46" s="347">
        <v>0</v>
      </c>
      <c r="B46" t="s" s="348">
        <v>290</v>
      </c>
      <c r="C46" s="26"/>
      <c r="D46" s="6"/>
      <c r="E46" s="6"/>
      <c r="F46" s="6"/>
      <c r="G46" s="6"/>
      <c r="H46" s="6"/>
      <c r="I46" s="6"/>
      <c r="J46" s="6"/>
      <c r="K46" s="6"/>
      <c r="L46" s="6"/>
      <c r="M46" s="6"/>
      <c r="N46" s="6"/>
      <c r="O46" s="276"/>
      <c r="P46" t="s" s="41">
        <v>92</v>
      </c>
      <c r="Q46" s="328">
        <v>6</v>
      </c>
      <c r="R46" s="328">
        <v>6</v>
      </c>
      <c r="S46" s="328">
        <v>6</v>
      </c>
      <c r="T46" s="328">
        <v>6</v>
      </c>
      <c r="U46" s="11"/>
      <c r="V46" s="40"/>
      <c r="W46" s="40"/>
      <c r="X46" s="6"/>
    </row>
    <row r="47" ht="13.55" customHeight="1">
      <c r="A47" s="347">
        <v>1</v>
      </c>
      <c r="B47" t="s" s="348">
        <v>180</v>
      </c>
      <c r="C47" s="26"/>
      <c r="D47" s="6"/>
      <c r="E47" s="6"/>
      <c r="F47" s="6"/>
      <c r="G47" s="6"/>
      <c r="H47" s="6"/>
      <c r="I47" s="6"/>
      <c r="J47" s="6"/>
      <c r="K47" s="6"/>
      <c r="L47" s="6"/>
      <c r="M47" s="6"/>
      <c r="N47" s="6"/>
      <c r="O47" s="276"/>
      <c r="P47" t="s" s="41">
        <v>246</v>
      </c>
      <c r="Q47" s="328">
        <v>7</v>
      </c>
      <c r="R47" s="328">
        <v>7</v>
      </c>
      <c r="S47" s="328">
        <v>7</v>
      </c>
      <c r="T47" s="328">
        <v>7</v>
      </c>
      <c r="U47" s="332"/>
      <c r="V47" t="s" s="163">
        <v>291</v>
      </c>
      <c r="W47" s="349">
        <f>IF('kuv_arvutused'!B16=1,0.0001,IF('kuv_arvutused'!B16=4,0.001,IF('kuv_arvutused'!B16=5,1)))</f>
        <v>0.0001</v>
      </c>
      <c r="X47" s="26"/>
    </row>
    <row r="48" ht="13.55" customHeight="1">
      <c r="A48" s="347">
        <v>2</v>
      </c>
      <c r="B48" t="s" s="348">
        <v>119</v>
      </c>
      <c r="C48" s="26"/>
      <c r="D48" s="6"/>
      <c r="E48" s="6"/>
      <c r="F48" s="6"/>
      <c r="G48" s="6"/>
      <c r="H48" s="6"/>
      <c r="I48" s="6"/>
      <c r="J48" s="6"/>
      <c r="K48" s="6"/>
      <c r="L48" s="6"/>
      <c r="M48" s="6"/>
      <c r="N48" s="6"/>
      <c r="O48" s="6"/>
      <c r="P48" s="105"/>
      <c r="Q48" s="105"/>
      <c r="R48" s="105"/>
      <c r="S48" s="81"/>
      <c r="T48" s="81"/>
      <c r="U48" s="67"/>
      <c r="V48" s="266"/>
      <c r="W48" s="266"/>
      <c r="X48" s="6"/>
    </row>
    <row r="49" ht="15" customHeight="1">
      <c r="A49" s="347">
        <v>3</v>
      </c>
      <c r="B49" t="s" s="348">
        <v>117</v>
      </c>
      <c r="C49" s="26"/>
      <c r="D49" s="6"/>
      <c r="E49" s="6"/>
      <c r="F49" s="6"/>
      <c r="G49" s="6"/>
      <c r="H49" s="6"/>
      <c r="I49" s="6"/>
      <c r="J49" s="6"/>
      <c r="K49" s="6"/>
      <c r="L49" s="6"/>
      <c r="M49" s="6"/>
      <c r="N49" s="6"/>
      <c r="O49" s="276"/>
      <c r="P49" s="220"/>
      <c r="Q49" t="s" s="213">
        <v>199</v>
      </c>
      <c r="R49" t="s" s="213">
        <v>292</v>
      </c>
      <c r="S49" s="11"/>
      <c r="T49" s="276"/>
      <c r="U49" t="s" s="350">
        <v>293</v>
      </c>
      <c r="V49" t="s" s="41">
        <v>228</v>
      </c>
      <c r="W49" s="328">
        <v>0</v>
      </c>
      <c r="X49" s="11"/>
    </row>
    <row r="50" ht="13.55" customHeight="1">
      <c r="A50" s="347">
        <v>4</v>
      </c>
      <c r="B50" t="s" s="348">
        <v>114</v>
      </c>
      <c r="C50" s="26"/>
      <c r="D50" s="6"/>
      <c r="E50" s="6"/>
      <c r="F50" s="6"/>
      <c r="G50" s="6"/>
      <c r="H50" s="6"/>
      <c r="I50" s="6"/>
      <c r="J50" s="6"/>
      <c r="K50" s="6"/>
      <c r="L50" s="6"/>
      <c r="M50" s="6"/>
      <c r="N50" s="6"/>
      <c r="O50" s="276"/>
      <c r="P50" t="s" s="41">
        <v>294</v>
      </c>
      <c r="Q50" s="351">
        <f>'Sisend'!C47</f>
        <v>1126.4</v>
      </c>
      <c r="R50" s="351">
        <f>'Sisend'!C47+'Sisend'!C48</f>
        <v>9643</v>
      </c>
      <c r="S50" s="11"/>
      <c r="T50" s="276"/>
      <c r="U50" s="352"/>
      <c r="V50" t="s" s="41">
        <v>232</v>
      </c>
      <c r="W50" s="328">
        <v>12</v>
      </c>
      <c r="X50" s="11"/>
    </row>
    <row r="51" ht="13.55" customHeight="1">
      <c r="A51" s="347">
        <v>5</v>
      </c>
      <c r="B51" t="s" s="348">
        <v>111</v>
      </c>
      <c r="C51" s="26"/>
      <c r="D51" s="6"/>
      <c r="E51" s="6"/>
      <c r="F51" s="6"/>
      <c r="G51" s="6"/>
      <c r="H51" s="6"/>
      <c r="I51" s="6"/>
      <c r="J51" s="6"/>
      <c r="K51" s="6"/>
      <c r="L51" s="6"/>
      <c r="M51" s="6"/>
      <c r="N51" s="6"/>
      <c r="O51" s="276"/>
      <c r="P51" t="s" s="41">
        <v>295</v>
      </c>
      <c r="Q51" s="353">
        <f>IF(Q50&lt;1000,1,IF(Q50&lt;2500,1.1,IF(Q50&lt;5000,1.2,IF(Q50&gt;=5000,1.3))))</f>
        <v>1.1</v>
      </c>
      <c r="R51" s="353">
        <f>IF(R50&lt;1000,1,IF(R50&lt;2500,1.1,IF(R50&lt;5000,1.2,IF(R50&gt;=5000,1.3))))</f>
        <v>1.3</v>
      </c>
      <c r="S51" s="11"/>
      <c r="T51" s="276"/>
      <c r="U51" s="352"/>
      <c r="V51" t="s" s="41">
        <v>296</v>
      </c>
      <c r="W51" s="328">
        <v>120</v>
      </c>
      <c r="X51" s="11"/>
    </row>
    <row r="52" ht="13.55" customHeight="1">
      <c r="A52" t="s" s="354">
        <v>178</v>
      </c>
      <c r="B52" s="296"/>
      <c r="C52" s="26"/>
      <c r="D52" s="6"/>
      <c r="E52" s="6"/>
      <c r="F52" s="6"/>
      <c r="G52" s="6"/>
      <c r="H52" s="6"/>
      <c r="I52" s="6"/>
      <c r="J52" s="6"/>
      <c r="K52" s="6"/>
      <c r="L52" s="6"/>
      <c r="M52" s="6"/>
      <c r="N52" s="6"/>
      <c r="O52" s="6"/>
      <c r="P52" s="81"/>
      <c r="Q52" s="81"/>
      <c r="R52" s="81"/>
      <c r="S52" s="6"/>
      <c r="T52" s="276"/>
      <c r="U52" s="352"/>
      <c r="V52" t="s" s="41">
        <v>239</v>
      </c>
      <c r="W52" s="328">
        <v>1203</v>
      </c>
      <c r="X52" s="11"/>
    </row>
    <row r="53" ht="13.55" customHeight="1">
      <c r="A53" s="347">
        <v>0</v>
      </c>
      <c r="B53" t="s" s="348">
        <v>290</v>
      </c>
      <c r="C53" s="26"/>
      <c r="D53" s="6"/>
      <c r="E53" s="6"/>
      <c r="F53" s="6"/>
      <c r="G53" s="6"/>
      <c r="H53" s="6"/>
      <c r="I53" s="6"/>
      <c r="J53" s="6"/>
      <c r="K53" s="6"/>
      <c r="L53" s="6"/>
      <c r="M53" s="6"/>
      <c r="N53" s="6"/>
      <c r="O53" s="6"/>
      <c r="P53" s="67"/>
      <c r="Q53" s="67"/>
      <c r="R53" s="6"/>
      <c r="S53" s="6"/>
      <c r="T53" s="276"/>
      <c r="U53" s="352"/>
      <c r="V53" t="s" s="41">
        <v>37</v>
      </c>
      <c r="W53" s="328">
        <v>2406</v>
      </c>
      <c r="X53" s="11"/>
    </row>
    <row r="54" ht="14.25" customHeight="1">
      <c r="A54" s="347">
        <v>1</v>
      </c>
      <c r="B54" t="s" s="348">
        <v>180</v>
      </c>
      <c r="C54" s="26"/>
      <c r="D54" s="6"/>
      <c r="E54" s="6"/>
      <c r="F54" s="6"/>
      <c r="G54" s="6"/>
      <c r="H54" s="6"/>
      <c r="I54" s="6"/>
      <c r="J54" s="6"/>
      <c r="K54" s="6"/>
      <c r="L54" s="6"/>
      <c r="M54" s="6"/>
      <c r="N54" s="6"/>
      <c r="O54" s="276"/>
      <c r="P54" t="s" s="41">
        <v>297</v>
      </c>
      <c r="Q54" s="269">
        <v>0</v>
      </c>
      <c r="R54" s="11"/>
      <c r="S54" s="6"/>
      <c r="T54" s="276"/>
      <c r="U54" s="352"/>
      <c r="V54" t="s" s="41">
        <v>243</v>
      </c>
      <c r="W54" s="328">
        <v>10000</v>
      </c>
      <c r="X54" s="11"/>
    </row>
    <row r="55" ht="14.25" customHeight="1">
      <c r="A55" s="347">
        <v>2</v>
      </c>
      <c r="B55" t="s" s="348">
        <v>119</v>
      </c>
      <c r="C55" s="26"/>
      <c r="D55" s="6"/>
      <c r="E55" s="6"/>
      <c r="F55" s="6"/>
      <c r="G55" s="6"/>
      <c r="H55" s="6"/>
      <c r="I55" s="6"/>
      <c r="J55" s="6"/>
      <c r="K55" s="6"/>
      <c r="L55" s="6"/>
      <c r="M55" s="6"/>
      <c r="N55" s="6"/>
      <c r="O55" s="276"/>
      <c r="P55" t="s" s="41">
        <v>298</v>
      </c>
      <c r="Q55" s="269">
        <v>1</v>
      </c>
      <c r="R55" s="11"/>
      <c r="S55" s="6"/>
      <c r="T55" s="276"/>
      <c r="U55" s="352"/>
      <c r="V55" t="s" s="41">
        <v>92</v>
      </c>
      <c r="W55" s="328">
        <v>25000</v>
      </c>
      <c r="X55" s="11"/>
    </row>
    <row r="56" ht="13.55" customHeight="1">
      <c r="A56" s="347">
        <v>3</v>
      </c>
      <c r="B56" t="s" s="348">
        <v>117</v>
      </c>
      <c r="C56" s="26"/>
      <c r="D56" s="6"/>
      <c r="E56" s="6"/>
      <c r="F56" s="6"/>
      <c r="G56" s="6"/>
      <c r="H56" s="6"/>
      <c r="I56" s="6"/>
      <c r="J56" s="6"/>
      <c r="K56" s="6"/>
      <c r="L56" s="6"/>
      <c r="M56" s="6"/>
      <c r="N56" s="6"/>
      <c r="O56" s="276"/>
      <c r="P56" t="s" s="41">
        <v>103</v>
      </c>
      <c r="Q56" s="269">
        <v>2</v>
      </c>
      <c r="R56" s="248"/>
      <c r="S56" s="6"/>
      <c r="T56" s="276"/>
      <c r="U56" s="355"/>
      <c r="V56" t="s" s="41">
        <v>246</v>
      </c>
      <c r="W56" s="328">
        <v>56818</v>
      </c>
      <c r="X56" s="11"/>
    </row>
    <row r="57" ht="13.55" customHeight="1">
      <c r="A57" s="347">
        <v>4</v>
      </c>
      <c r="B57" t="s" s="348">
        <v>114</v>
      </c>
      <c r="C57" s="26"/>
      <c r="D57" s="6"/>
      <c r="E57" s="6"/>
      <c r="F57" s="6"/>
      <c r="G57" s="6"/>
      <c r="H57" s="6"/>
      <c r="I57" s="6"/>
      <c r="J57" s="6"/>
      <c r="K57" s="6"/>
      <c r="L57" s="6"/>
      <c r="M57" s="6"/>
      <c r="N57" s="6"/>
      <c r="O57" s="6"/>
      <c r="P57" s="110"/>
      <c r="Q57" s="322">
        <f>VLOOKUP('Sisend'!C52,P54:Q56,2,FALSE)</f>
        <v>2</v>
      </c>
      <c r="R57" s="356">
        <f>IF(Q57=2,1.25,IF(Q57=1,1.1,1))</f>
        <v>1.25</v>
      </c>
      <c r="S57" s="26"/>
      <c r="T57" s="6"/>
      <c r="U57" s="81"/>
      <c r="V57" s="81"/>
      <c r="W57" s="81"/>
      <c r="X57" s="6"/>
    </row>
    <row r="58" ht="13.55" customHeight="1">
      <c r="A58" s="347">
        <v>5</v>
      </c>
      <c r="B58" t="s" s="348">
        <v>111</v>
      </c>
      <c r="C58" s="26"/>
      <c r="D58" s="6"/>
      <c r="E58" s="6"/>
      <c r="F58" s="6"/>
      <c r="G58" s="6"/>
      <c r="H58" s="6"/>
      <c r="I58" s="6"/>
      <c r="J58" s="6"/>
      <c r="K58" s="6"/>
      <c r="L58" s="6"/>
      <c r="M58" s="6"/>
      <c r="N58" s="6"/>
      <c r="O58" s="6"/>
      <c r="P58" s="67"/>
      <c r="Q58" s="105"/>
      <c r="R58" s="64"/>
      <c r="S58" s="40"/>
      <c r="T58" s="40"/>
      <c r="U58" s="6"/>
      <c r="V58" s="6"/>
      <c r="W58" s="6"/>
      <c r="X58" s="6"/>
    </row>
    <row r="59" ht="14.25" customHeight="1">
      <c r="A59" s="81"/>
      <c r="B59" s="64"/>
      <c r="C59" s="6"/>
      <c r="D59" s="6"/>
      <c r="E59" s="6"/>
      <c r="F59" s="6"/>
      <c r="G59" s="6"/>
      <c r="H59" s="6"/>
      <c r="I59" s="6"/>
      <c r="J59" s="6"/>
      <c r="K59" s="6"/>
      <c r="L59" s="6"/>
      <c r="M59" s="6"/>
      <c r="N59" s="6"/>
      <c r="O59" t="s" s="357">
        <v>299</v>
      </c>
      <c r="P59" t="s" s="41">
        <v>229</v>
      </c>
      <c r="Q59" s="358">
        <v>2500</v>
      </c>
      <c r="R59" s="311"/>
      <c r="S59" t="s" s="359">
        <v>42</v>
      </c>
      <c r="T59" s="360">
        <f>VLOOKUP('Sisend'!B12,S60:T64,2,FALSE)</f>
        <v>1</v>
      </c>
      <c r="U59" s="26"/>
      <c r="V59" s="6"/>
      <c r="W59" s="6"/>
      <c r="X59" s="6"/>
    </row>
    <row r="60" ht="13.55" customHeight="1">
      <c r="A60" s="6"/>
      <c r="B60" s="6"/>
      <c r="C60" s="6"/>
      <c r="D60" s="6"/>
      <c r="E60" s="6"/>
      <c r="F60" s="6"/>
      <c r="G60" s="6"/>
      <c r="H60" s="6"/>
      <c r="I60" s="6"/>
      <c r="J60" s="6"/>
      <c r="K60" s="6"/>
      <c r="L60" s="6"/>
      <c r="M60" s="6"/>
      <c r="N60" s="6"/>
      <c r="O60" s="361"/>
      <c r="P60" t="s" s="41">
        <v>236</v>
      </c>
      <c r="Q60" s="358">
        <v>25000</v>
      </c>
      <c r="R60" s="297"/>
      <c r="S60" t="s" s="41">
        <v>300</v>
      </c>
      <c r="T60" s="328">
        <v>0.5</v>
      </c>
      <c r="U60" s="11"/>
      <c r="V60" s="6"/>
      <c r="W60" s="6"/>
      <c r="X60" s="6"/>
    </row>
    <row r="61" ht="13.55" customHeight="1">
      <c r="A61" s="6"/>
      <c r="B61" s="6"/>
      <c r="C61" s="6"/>
      <c r="D61" s="6"/>
      <c r="E61" s="6"/>
      <c r="F61" s="6"/>
      <c r="G61" s="6"/>
      <c r="H61" s="6"/>
      <c r="I61" s="6"/>
      <c r="J61" s="6"/>
      <c r="K61" s="6"/>
      <c r="L61" s="6"/>
      <c r="M61" s="6"/>
      <c r="N61" s="6"/>
      <c r="O61" s="361"/>
      <c r="P61" t="s" s="41">
        <v>240</v>
      </c>
      <c r="Q61" s="358">
        <v>75000</v>
      </c>
      <c r="R61" s="297"/>
      <c r="S61" t="s" s="41">
        <v>301</v>
      </c>
      <c r="T61" s="328">
        <v>0.5</v>
      </c>
      <c r="U61" s="11"/>
      <c r="V61" s="6"/>
      <c r="W61" s="6"/>
      <c r="X61" s="6"/>
    </row>
    <row r="62" ht="13.55" customHeight="1">
      <c r="A62" s="6"/>
      <c r="B62" s="6"/>
      <c r="C62" s="6"/>
      <c r="D62" s="6"/>
      <c r="E62" s="6"/>
      <c r="F62" s="6"/>
      <c r="G62" s="6"/>
      <c r="H62" s="6"/>
      <c r="I62" s="6"/>
      <c r="J62" s="6"/>
      <c r="K62" s="6"/>
      <c r="L62" s="6"/>
      <c r="M62" s="6"/>
      <c r="N62" s="6"/>
      <c r="O62" s="361"/>
      <c r="P62" t="s" s="41">
        <v>100</v>
      </c>
      <c r="Q62" s="358">
        <v>250000</v>
      </c>
      <c r="R62" s="297"/>
      <c r="S62" t="s" s="41">
        <v>43</v>
      </c>
      <c r="T62" s="328">
        <v>1</v>
      </c>
      <c r="U62" s="11"/>
      <c r="V62" s="6"/>
      <c r="W62" s="6"/>
      <c r="X62" s="6"/>
    </row>
    <row r="63" ht="13.55" customHeight="1">
      <c r="A63" s="6"/>
      <c r="B63" s="6"/>
      <c r="C63" s="6"/>
      <c r="D63" s="6"/>
      <c r="E63" s="6"/>
      <c r="F63" s="6"/>
      <c r="G63" s="6"/>
      <c r="H63" s="6"/>
      <c r="I63" s="6"/>
      <c r="J63" s="6"/>
      <c r="K63" s="6"/>
      <c r="L63" s="6"/>
      <c r="M63" s="6"/>
      <c r="N63" s="6"/>
      <c r="O63" s="361"/>
      <c r="P63" t="s" s="41">
        <v>244</v>
      </c>
      <c r="Q63" s="358">
        <v>2500000</v>
      </c>
      <c r="R63" s="297"/>
      <c r="S63" t="s" s="41">
        <v>302</v>
      </c>
      <c r="T63" s="328">
        <v>1</v>
      </c>
      <c r="U63" s="11"/>
      <c r="V63" s="6"/>
      <c r="W63" s="6"/>
      <c r="X63" s="6"/>
    </row>
    <row r="64" ht="13.55" customHeight="1">
      <c r="A64" s="6"/>
      <c r="B64" s="6"/>
      <c r="C64" s="6"/>
      <c r="D64" s="6"/>
      <c r="E64" s="6"/>
      <c r="F64" s="6"/>
      <c r="G64" s="6"/>
      <c r="H64" s="6"/>
      <c r="I64" s="6"/>
      <c r="J64" s="6"/>
      <c r="K64" s="6"/>
      <c r="L64" s="6"/>
      <c r="M64" s="6"/>
      <c r="N64" s="6"/>
      <c r="O64" s="361"/>
      <c r="P64" t="s" s="41">
        <v>245</v>
      </c>
      <c r="Q64" s="358">
        <v>20000000</v>
      </c>
      <c r="R64" s="297"/>
      <c r="S64" t="s" s="41">
        <v>303</v>
      </c>
      <c r="T64" s="328">
        <v>0.75</v>
      </c>
      <c r="U64" s="11"/>
      <c r="V64" s="6"/>
      <c r="W64" s="6"/>
      <c r="X64" s="6"/>
    </row>
    <row r="65" ht="14.25" customHeight="1">
      <c r="A65" s="6"/>
      <c r="B65" s="6"/>
      <c r="C65" s="6"/>
      <c r="D65" s="6"/>
      <c r="E65" s="6"/>
      <c r="F65" s="6"/>
      <c r="G65" s="6"/>
      <c r="H65" s="6"/>
      <c r="I65" s="6"/>
      <c r="J65" s="6"/>
      <c r="K65" s="6"/>
      <c r="L65" s="6"/>
      <c r="M65" s="362"/>
      <c r="N65" s="6"/>
      <c r="O65" s="6"/>
      <c r="P65" s="81"/>
      <c r="Q65" s="81"/>
      <c r="R65" s="6"/>
      <c r="S65" s="81"/>
      <c r="T65" s="81"/>
      <c r="U65" s="6"/>
      <c r="V65" s="6"/>
      <c r="W65" s="6"/>
      <c r="X65" s="6"/>
    </row>
    <row r="66" ht="13.55" customHeight="1">
      <c r="A66" s="6"/>
      <c r="B66" s="6"/>
      <c r="C66" s="6"/>
      <c r="D66" s="6"/>
      <c r="E66" s="6"/>
      <c r="F66" s="6"/>
      <c r="G66" s="6"/>
      <c r="H66" s="6"/>
      <c r="I66" s="6"/>
      <c r="J66" s="6"/>
      <c r="K66" s="6"/>
      <c r="L66" s="6"/>
      <c r="M66" s="362"/>
      <c r="N66" s="6"/>
      <c r="O66" s="6"/>
      <c r="P66" s="6"/>
      <c r="Q66" s="6"/>
      <c r="R66" s="6"/>
      <c r="S66" s="6"/>
      <c r="T66" s="6"/>
      <c r="U66" s="6"/>
      <c r="V66" s="6"/>
      <c r="W66" s="6"/>
      <c r="X66" s="6"/>
    </row>
    <row r="67" ht="13.55" customHeight="1">
      <c r="A67" s="6"/>
      <c r="B67" s="6"/>
      <c r="C67" s="6"/>
      <c r="D67" s="6"/>
      <c r="E67" s="6"/>
      <c r="F67" s="6"/>
      <c r="G67" s="6"/>
      <c r="H67" s="6"/>
      <c r="I67" s="6"/>
      <c r="J67" s="6"/>
      <c r="K67" s="6"/>
      <c r="L67" s="6"/>
      <c r="M67" s="362"/>
      <c r="N67" s="6"/>
      <c r="O67" s="6"/>
      <c r="P67" s="6"/>
      <c r="Q67" s="6"/>
      <c r="R67" s="6"/>
      <c r="S67" s="6"/>
      <c r="T67" s="6"/>
      <c r="U67" s="6"/>
      <c r="V67" s="6"/>
      <c r="W67" s="6"/>
      <c r="X67" s="6"/>
    </row>
    <row r="68" ht="13.55" customHeight="1">
      <c r="A68" s="6"/>
      <c r="B68" s="6"/>
      <c r="C68" s="6"/>
      <c r="D68" s="6"/>
      <c r="E68" s="6"/>
      <c r="F68" s="6"/>
      <c r="G68" s="6"/>
      <c r="H68" s="6"/>
      <c r="I68" s="6"/>
      <c r="J68" s="6"/>
      <c r="K68" s="6"/>
      <c r="L68" s="6"/>
      <c r="M68" s="362"/>
      <c r="N68" s="6"/>
      <c r="O68" s="6"/>
      <c r="P68" s="6"/>
      <c r="Q68" s="6"/>
      <c r="R68" s="6"/>
      <c r="S68" s="6"/>
      <c r="T68" s="6"/>
      <c r="U68" s="6"/>
      <c r="V68" s="6"/>
      <c r="W68" s="6"/>
      <c r="X68" s="6"/>
    </row>
    <row r="69" ht="13.55" customHeight="1">
      <c r="A69" s="6"/>
      <c r="B69" s="6"/>
      <c r="C69" s="6"/>
      <c r="D69" s="6"/>
      <c r="E69" s="6"/>
      <c r="F69" s="6"/>
      <c r="G69" s="6"/>
      <c r="H69" s="6"/>
      <c r="I69" s="6"/>
      <c r="J69" s="6"/>
      <c r="K69" s="6"/>
      <c r="L69" s="6"/>
      <c r="M69" s="362"/>
      <c r="N69" s="6"/>
      <c r="O69" s="6"/>
      <c r="P69" s="6"/>
      <c r="Q69" s="6"/>
      <c r="R69" s="6"/>
      <c r="S69" s="6"/>
      <c r="T69" s="6"/>
      <c r="U69" s="6"/>
      <c r="V69" s="6"/>
      <c r="W69" s="6"/>
      <c r="X69" s="6"/>
    </row>
    <row r="70" ht="13.55" customHeight="1">
      <c r="A70" s="6"/>
      <c r="B70" s="6"/>
      <c r="C70" s="6"/>
      <c r="D70" s="6"/>
      <c r="E70" s="6"/>
      <c r="F70" s="6"/>
      <c r="G70" s="6"/>
      <c r="H70" s="6"/>
      <c r="I70" s="6"/>
      <c r="J70" s="6"/>
      <c r="K70" s="6"/>
      <c r="L70" s="6"/>
      <c r="M70" s="362"/>
      <c r="N70" s="6"/>
      <c r="O70" s="6"/>
      <c r="P70" s="6"/>
      <c r="Q70" s="6"/>
      <c r="R70" s="6"/>
      <c r="S70" s="6"/>
      <c r="T70" s="6"/>
      <c r="U70" s="6"/>
      <c r="V70" s="6"/>
      <c r="W70" s="6"/>
      <c r="X70" s="6"/>
    </row>
    <row r="71" ht="13.55" customHeight="1">
      <c r="A71" s="6"/>
      <c r="B71" s="6"/>
      <c r="C71" s="6"/>
      <c r="D71" s="6"/>
      <c r="E71" s="6"/>
      <c r="F71" s="6"/>
      <c r="G71" s="6"/>
      <c r="H71" s="6"/>
      <c r="I71" s="6"/>
      <c r="J71" s="6"/>
      <c r="K71" s="6"/>
      <c r="L71" s="6"/>
      <c r="M71" s="6"/>
      <c r="N71" s="6"/>
      <c r="O71" s="6"/>
      <c r="P71" s="6"/>
      <c r="Q71" s="6"/>
      <c r="R71" s="6"/>
      <c r="S71" s="6"/>
      <c r="T71" s="6"/>
      <c r="U71" s="6"/>
      <c r="V71" s="6"/>
      <c r="W71" s="6"/>
      <c r="X71" s="6"/>
    </row>
    <row r="72" ht="13.55" customHeight="1">
      <c r="A72" s="6"/>
      <c r="B72" s="6"/>
      <c r="C72" s="6"/>
      <c r="D72" s="6"/>
      <c r="E72" s="6"/>
      <c r="F72" s="6"/>
      <c r="G72" s="6"/>
      <c r="H72" s="6"/>
      <c r="I72" s="6"/>
      <c r="J72" s="6"/>
      <c r="K72" s="6"/>
      <c r="L72" s="6"/>
      <c r="M72" s="6"/>
      <c r="N72" s="6"/>
      <c r="O72" s="6"/>
      <c r="P72" s="6"/>
      <c r="Q72" s="6"/>
      <c r="R72" s="6"/>
      <c r="S72" s="6"/>
      <c r="T72" s="6"/>
      <c r="U72" s="6"/>
      <c r="V72" s="6"/>
      <c r="W72" s="6"/>
      <c r="X72" s="6"/>
    </row>
    <row r="73" ht="13.55" customHeight="1">
      <c r="A73" s="6"/>
      <c r="B73" s="6"/>
      <c r="C73" s="6"/>
      <c r="D73" s="6"/>
      <c r="E73" s="6"/>
      <c r="F73" s="6"/>
      <c r="G73" s="6"/>
      <c r="H73" s="6"/>
      <c r="I73" s="6"/>
      <c r="J73" s="6"/>
      <c r="K73" s="6"/>
      <c r="L73" s="6"/>
      <c r="M73" s="6"/>
      <c r="N73" s="6"/>
      <c r="O73" s="6"/>
      <c r="P73" s="6"/>
      <c r="Q73" s="6"/>
      <c r="R73" s="6"/>
      <c r="S73" s="6"/>
      <c r="T73" s="6"/>
      <c r="U73" s="6"/>
      <c r="V73" s="6"/>
      <c r="W73" s="6"/>
      <c r="X73" s="6"/>
    </row>
    <row r="74" ht="13.55" customHeight="1">
      <c r="A74" s="6"/>
      <c r="B74" s="6"/>
      <c r="C74" s="6"/>
      <c r="D74" s="6"/>
      <c r="E74" s="6"/>
      <c r="F74" s="6"/>
      <c r="G74" s="6"/>
      <c r="H74" s="6"/>
      <c r="I74" s="6"/>
      <c r="J74" s="6"/>
      <c r="K74" s="6"/>
      <c r="L74" s="6"/>
      <c r="M74" s="6"/>
      <c r="N74" s="6"/>
      <c r="O74" s="6"/>
      <c r="P74" s="329"/>
      <c r="Q74" s="329"/>
      <c r="R74" s="6"/>
      <c r="S74" s="6"/>
      <c r="T74" s="6"/>
      <c r="U74" s="6"/>
      <c r="V74" s="6"/>
      <c r="W74" s="6"/>
      <c r="X74" s="6"/>
    </row>
    <row r="75" ht="13.55" customHeight="1">
      <c r="A75" s="6"/>
      <c r="B75" s="6"/>
      <c r="C75" s="6"/>
      <c r="D75" s="6"/>
      <c r="E75" s="6"/>
      <c r="F75" s="6"/>
      <c r="G75" s="6"/>
      <c r="H75" s="6"/>
      <c r="I75" s="6"/>
      <c r="J75" s="6"/>
      <c r="K75" s="6"/>
      <c r="L75" s="6"/>
      <c r="M75" s="6"/>
      <c r="N75" s="6"/>
      <c r="O75" s="6"/>
      <c r="P75" s="329"/>
      <c r="Q75" s="329"/>
      <c r="R75" s="6"/>
      <c r="S75" s="6"/>
      <c r="T75" s="6"/>
      <c r="U75" s="6"/>
      <c r="V75" s="6"/>
      <c r="W75" s="6"/>
      <c r="X75" s="6"/>
    </row>
    <row r="76" ht="13.55" customHeight="1">
      <c r="A76" s="6"/>
      <c r="B76" s="6"/>
      <c r="C76" s="6"/>
      <c r="D76" s="6"/>
      <c r="E76" s="6"/>
      <c r="F76" s="6"/>
      <c r="G76" s="6"/>
      <c r="H76" s="6"/>
      <c r="I76" s="6"/>
      <c r="J76" s="6"/>
      <c r="K76" s="6"/>
      <c r="L76" s="6"/>
      <c r="M76" s="6"/>
      <c r="N76" s="6"/>
      <c r="O76" s="6"/>
      <c r="P76" s="329"/>
      <c r="Q76" s="329"/>
      <c r="R76" s="6"/>
      <c r="S76" s="6"/>
      <c r="T76" s="6"/>
      <c r="U76" s="6"/>
      <c r="V76" s="6"/>
      <c r="W76" s="6"/>
      <c r="X76" s="6"/>
    </row>
    <row r="77" ht="13.55" customHeight="1">
      <c r="A77" s="6"/>
      <c r="B77" s="6"/>
      <c r="C77" s="6"/>
      <c r="D77" s="6"/>
      <c r="E77" s="6"/>
      <c r="F77" s="6"/>
      <c r="G77" s="6"/>
      <c r="H77" s="6"/>
      <c r="I77" s="6"/>
      <c r="J77" s="6"/>
      <c r="K77" s="6"/>
      <c r="L77" s="6"/>
      <c r="M77" s="6"/>
      <c r="N77" s="6"/>
      <c r="O77" s="6"/>
      <c r="P77" s="329"/>
      <c r="Q77" s="329"/>
      <c r="R77" s="6"/>
      <c r="S77" s="6"/>
      <c r="T77" s="6"/>
      <c r="U77" s="6"/>
      <c r="V77" s="6"/>
      <c r="W77" s="6"/>
      <c r="X77" s="6"/>
    </row>
    <row r="78" ht="13.55" customHeight="1">
      <c r="A78" s="6"/>
      <c r="B78" s="6"/>
      <c r="C78" s="6"/>
      <c r="D78" s="6"/>
      <c r="E78" s="6"/>
      <c r="F78" s="6"/>
      <c r="G78" s="6"/>
      <c r="H78" s="6"/>
      <c r="I78" s="6"/>
      <c r="J78" s="6"/>
      <c r="K78" s="6"/>
      <c r="L78" s="6"/>
      <c r="M78" s="6"/>
      <c r="N78" s="6"/>
      <c r="O78" s="6"/>
      <c r="P78" s="329"/>
      <c r="Q78" s="329"/>
      <c r="R78" s="6"/>
      <c r="S78" s="6"/>
      <c r="T78" s="6"/>
      <c r="U78" s="6"/>
      <c r="V78" s="6"/>
      <c r="W78" s="6"/>
      <c r="X78" s="6"/>
    </row>
    <row r="79" ht="13.55" customHeight="1">
      <c r="A79" s="6"/>
      <c r="B79" s="6"/>
      <c r="C79" s="6"/>
      <c r="D79" s="6"/>
      <c r="E79" s="6"/>
      <c r="F79" s="6"/>
      <c r="G79" s="6"/>
      <c r="H79" s="6"/>
      <c r="I79" s="6"/>
      <c r="J79" s="6"/>
      <c r="K79" s="6"/>
      <c r="L79" s="6"/>
      <c r="M79" s="6"/>
      <c r="N79" s="6"/>
      <c r="O79" s="6"/>
      <c r="P79" s="329"/>
      <c r="Q79" s="329"/>
      <c r="R79" s="6"/>
      <c r="S79" s="6"/>
      <c r="T79" s="6"/>
      <c r="U79" s="6"/>
      <c r="V79" s="6"/>
      <c r="W79" s="6"/>
      <c r="X79" s="6"/>
    </row>
  </sheetData>
  <mergeCells count="19">
    <mergeCell ref="O59:O64"/>
    <mergeCell ref="A1:N1"/>
    <mergeCell ref="E4:H4"/>
    <mergeCell ref="E5:H5"/>
    <mergeCell ref="E6:H6"/>
    <mergeCell ref="E7:H7"/>
    <mergeCell ref="A2:J2"/>
    <mergeCell ref="J14:K14"/>
    <mergeCell ref="U49:U56"/>
    <mergeCell ref="E8:H8"/>
    <mergeCell ref="E9:H9"/>
    <mergeCell ref="E10:H10"/>
    <mergeCell ref="E11:H11"/>
    <mergeCell ref="E16:H16"/>
    <mergeCell ref="E17:H17"/>
    <mergeCell ref="E19:H19"/>
    <mergeCell ref="E20:H20"/>
    <mergeCell ref="E12:H12"/>
    <mergeCell ref="E13:H13"/>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5.xml><?xml version="1.0" encoding="utf-8"?>
<worksheet xmlns:r="http://schemas.openxmlformats.org/officeDocument/2006/relationships" xmlns="http://schemas.openxmlformats.org/spreadsheetml/2006/main">
  <dimension ref="A1:AF58"/>
  <sheetViews>
    <sheetView workbookViewId="0" showGridLines="0" defaultGridColor="1"/>
  </sheetViews>
  <sheetFormatPr defaultColWidth="8.83333" defaultRowHeight="14.25" customHeight="1" outlineLevelRow="0" outlineLevelCol="0"/>
  <cols>
    <col min="1" max="4" width="11.8516" style="363" customWidth="1"/>
    <col min="5" max="11" width="16.8516" style="363" customWidth="1"/>
    <col min="12" max="15" width="10.8516" style="363" customWidth="1"/>
    <col min="16" max="29" width="16.8516" style="363" customWidth="1"/>
    <col min="30" max="30" width="38.8516" style="363" customWidth="1"/>
    <col min="31" max="31" width="18.8516" style="363" customWidth="1"/>
    <col min="32" max="32" width="8.85156" style="363" customWidth="1"/>
    <col min="33" max="16384" width="8.85156" style="363" customWidth="1"/>
  </cols>
  <sheetData>
    <row r="1" ht="57.6" customHeight="1">
      <c r="A1" t="s" s="364">
        <v>304</v>
      </c>
      <c r="B1" s="365"/>
      <c r="C1" s="365"/>
      <c r="D1" s="366"/>
      <c r="E1" t="s" s="51">
        <v>305</v>
      </c>
      <c r="F1" t="s" s="51">
        <v>306</v>
      </c>
      <c r="G1" t="s" s="51">
        <v>307</v>
      </c>
      <c r="H1" t="s" s="367">
        <v>308</v>
      </c>
      <c r="I1" t="s" s="368">
        <v>309</v>
      </c>
      <c r="J1" t="s" s="51">
        <v>310</v>
      </c>
      <c r="K1" t="s" s="369">
        <v>311</v>
      </c>
      <c r="L1" t="s" s="370">
        <v>304</v>
      </c>
      <c r="M1" s="371"/>
      <c r="N1" s="371"/>
      <c r="O1" s="371"/>
      <c r="P1" t="s" s="372">
        <v>133</v>
      </c>
      <c r="Q1" t="s" s="372">
        <v>312</v>
      </c>
      <c r="R1" t="s" s="372">
        <v>135</v>
      </c>
      <c r="S1" t="s" s="372">
        <v>131</v>
      </c>
      <c r="T1" t="s" s="372">
        <v>139</v>
      </c>
      <c r="U1" t="s" s="372">
        <v>313</v>
      </c>
      <c r="V1" t="s" s="372">
        <v>314</v>
      </c>
      <c r="W1" t="s" s="373">
        <v>147</v>
      </c>
      <c r="X1" t="s" s="373">
        <v>315</v>
      </c>
      <c r="Y1" t="s" s="373">
        <v>149</v>
      </c>
      <c r="Z1" t="s" s="373">
        <v>145</v>
      </c>
      <c r="AA1" t="s" s="373">
        <v>153</v>
      </c>
      <c r="AB1" t="s" s="373">
        <v>316</v>
      </c>
      <c r="AC1" t="s" s="373">
        <v>151</v>
      </c>
      <c r="AD1" s="374"/>
      <c r="AE1" s="374"/>
      <c r="AF1" s="375"/>
    </row>
    <row r="2" ht="14.5" customHeight="1">
      <c r="A2" t="s" s="376">
        <f>'Sisend'!A33</f>
        <v>75</v>
      </c>
      <c r="B2" s="271"/>
      <c r="C2" s="271"/>
      <c r="D2" s="272"/>
      <c r="E2" s="377">
        <f>'Sisend'!D33</f>
        <v>22300</v>
      </c>
      <c r="F2" s="378">
        <f>E2*'Sisend'!$H$28/'Sisend'!$G$28</f>
        <v>1683.011050190360</v>
      </c>
      <c r="G2" s="379">
        <f>'Sisend'!E33*'Sisend'!$H$28/'Sisend'!$G$28</f>
        <v>1482.634622465910</v>
      </c>
      <c r="H2" s="379">
        <f>G2*$O$11/(1+$O$11)*0.8+G2*O13/(1+O13)*0.2+G2*0.5*R11</f>
        <v>436.283466774805</v>
      </c>
      <c r="I2" s="380">
        <f>$Z$11</f>
        <v>0.2</v>
      </c>
      <c r="J2" s="378">
        <f>G2*I2</f>
        <v>296.526924493182</v>
      </c>
      <c r="K2" s="378">
        <f>E2*'Sisend'!$K$28/'Sisend'!$G$28</f>
        <v>18300.4521760869</v>
      </c>
      <c r="L2" t="s" s="381">
        <f>A2</f>
        <v>75</v>
      </c>
      <c r="M2" s="296"/>
      <c r="N2" s="296"/>
      <c r="O2" s="296"/>
      <c r="P2" s="382">
        <v>0</v>
      </c>
      <c r="Q2" s="382">
        <f>G2</f>
        <v>1482.634622465910</v>
      </c>
      <c r="R2" s="382">
        <f>Q2*$R$14</f>
        <v>756.143657457614</v>
      </c>
      <c r="S2" s="382">
        <f>P2+R2</f>
        <v>756.143657457614</v>
      </c>
      <c r="T2" s="382">
        <f>S2*$R$15</f>
        <v>1141.776922761</v>
      </c>
      <c r="U2" s="382">
        <f>S2+T2</f>
        <v>1897.920580218610</v>
      </c>
      <c r="V2" s="382">
        <f>H2</f>
        <v>436.283466774805</v>
      </c>
      <c r="W2" s="382">
        <v>0</v>
      </c>
      <c r="X2" s="382">
        <f>J2+K2</f>
        <v>18596.9791005801</v>
      </c>
      <c r="Y2" s="382">
        <f>X2*$Z$11</f>
        <v>3719.395820116020</v>
      </c>
      <c r="Z2" s="382">
        <f>W2+Y2</f>
        <v>3719.395820116020</v>
      </c>
      <c r="AA2" s="382">
        <f>Z2*$Z$12</f>
        <v>4202.9172767311</v>
      </c>
      <c r="AB2" s="382">
        <f>Z2+AA2</f>
        <v>7922.313096847120</v>
      </c>
      <c r="AC2" s="382">
        <v>0</v>
      </c>
      <c r="AD2" s="383"/>
      <c r="AE2" s="384"/>
      <c r="AF2" s="385"/>
    </row>
    <row r="3" ht="14.5" customHeight="1">
      <c r="A3" t="s" s="376">
        <f>'Sisend'!A34</f>
        <v>76</v>
      </c>
      <c r="B3" s="271"/>
      <c r="C3" s="271"/>
      <c r="D3" s="272"/>
      <c r="E3" s="377">
        <f>'Sisend'!D34</f>
        <v>11870</v>
      </c>
      <c r="F3" s="378">
        <f>E3*'Sisend'!$H$28/'Sisend'!$G$28</f>
        <v>895.844895325543</v>
      </c>
      <c r="G3" s="379">
        <f>'Sisend'!E34*'Sisend'!$H$28/'Sisend'!$G$28</f>
        <v>895.844895325543</v>
      </c>
      <c r="H3" s="379">
        <f>G3*$O$12/(1+$O$12)</f>
        <v>103.061802117098</v>
      </c>
      <c r="I3" s="380">
        <f>$Z$11</f>
        <v>0.2</v>
      </c>
      <c r="J3" s="378">
        <f>G3*I3</f>
        <v>179.168979065109</v>
      </c>
      <c r="K3" s="378">
        <f>E3*'Sisend'!$K$28/'Sisend'!$G$28</f>
        <v>9741.092705387940</v>
      </c>
      <c r="L3" t="s" s="381">
        <f>A3</f>
        <v>76</v>
      </c>
      <c r="M3" s="296"/>
      <c r="N3" s="296"/>
      <c r="O3" s="296"/>
      <c r="P3" s="382">
        <v>0</v>
      </c>
      <c r="Q3" s="382">
        <f>G3</f>
        <v>895.844895325543</v>
      </c>
      <c r="R3" s="382">
        <f>Q3*$R$14</f>
        <v>456.880896616027</v>
      </c>
      <c r="S3" s="382">
        <f>P3+R3</f>
        <v>456.880896616027</v>
      </c>
      <c r="T3" s="382">
        <f>S3*$R$15</f>
        <v>689.890153890201</v>
      </c>
      <c r="U3" s="382">
        <f>S3+T3</f>
        <v>1146.771050506230</v>
      </c>
      <c r="V3" s="382">
        <f>H3</f>
        <v>103.061802117098</v>
      </c>
      <c r="W3" s="382">
        <v>0</v>
      </c>
      <c r="X3" s="382">
        <f>J3+K3</f>
        <v>9920.261684453049</v>
      </c>
      <c r="Y3" s="382">
        <f>X3*$Z$11</f>
        <v>1984.052336890610</v>
      </c>
      <c r="Z3" s="382">
        <f>W3+Y3</f>
        <v>1984.052336890610</v>
      </c>
      <c r="AA3" s="382">
        <f>Z3*$Z$12</f>
        <v>2241.979140686390</v>
      </c>
      <c r="AB3" s="382">
        <f>Z3+AA3</f>
        <v>4226.031477577</v>
      </c>
      <c r="AC3" s="382">
        <v>0</v>
      </c>
      <c r="AD3" s="383"/>
      <c r="AE3" s="384"/>
      <c r="AF3" s="385"/>
    </row>
    <row r="4" ht="15" customHeight="1">
      <c r="A4" t="s" s="376">
        <f>'Sisend'!A35</f>
        <v>77</v>
      </c>
      <c r="B4" s="271"/>
      <c r="C4" s="271"/>
      <c r="D4" s="272"/>
      <c r="E4" s="377">
        <f>'Sisend'!D35</f>
        <v>9643</v>
      </c>
      <c r="F4" s="378">
        <f>E4*'Sisend'!$H$28/'Sisend'!$G$28</f>
        <v>727.770204349133</v>
      </c>
      <c r="G4" s="379">
        <f>'Sisend'!E35*'Sisend'!$H$28/'Sisend'!$G$28</f>
        <v>642.759278477634</v>
      </c>
      <c r="H4" s="379">
        <f>G4*$O$11/(1+$O$11)</f>
        <v>115.907410873016</v>
      </c>
      <c r="I4" s="380">
        <f>$Z$11</f>
        <v>0.2</v>
      </c>
      <c r="J4" s="378">
        <f>G4*I4</f>
        <v>128.551855695527</v>
      </c>
      <c r="K4" s="378">
        <f>E4*'Sisend'!$K$28/'Sisend'!$G$28</f>
        <v>7913.509432018190</v>
      </c>
      <c r="L4" t="s" s="381">
        <f>A4</f>
        <v>77</v>
      </c>
      <c r="M4" s="296"/>
      <c r="N4" s="296"/>
      <c r="O4" s="296"/>
      <c r="P4" s="382">
        <v>0</v>
      </c>
      <c r="Q4" s="382">
        <f>G4</f>
        <v>642.759278477634</v>
      </c>
      <c r="R4" s="382">
        <f>Q4*$R$14</f>
        <v>327.807232023593</v>
      </c>
      <c r="S4" s="382">
        <f>P4+R4</f>
        <v>327.807232023593</v>
      </c>
      <c r="T4" s="382">
        <f>S4*$R$15</f>
        <v>494.988920355625</v>
      </c>
      <c r="U4" s="382">
        <f>S4+T4</f>
        <v>822.796152379218</v>
      </c>
      <c r="V4" s="382">
        <f>H4</f>
        <v>115.907410873016</v>
      </c>
      <c r="W4" s="382">
        <v>0</v>
      </c>
      <c r="X4" s="382">
        <f>J4+K4</f>
        <v>8042.061287713720</v>
      </c>
      <c r="Y4" s="382">
        <f>X4*$Z$11</f>
        <v>1608.412257542740</v>
      </c>
      <c r="Z4" s="382">
        <f>W4+Y4</f>
        <v>1608.412257542740</v>
      </c>
      <c r="AA4" s="382">
        <f>Z4*$Z$12</f>
        <v>1817.5058510233</v>
      </c>
      <c r="AB4" s="382">
        <f>Z4+AA4</f>
        <v>3425.918108566040</v>
      </c>
      <c r="AC4" s="382">
        <v>0</v>
      </c>
      <c r="AD4" s="383"/>
      <c r="AE4" s="384"/>
      <c r="AF4" s="385"/>
    </row>
    <row r="5" ht="14.5" customHeight="1">
      <c r="A5" t="s" s="376">
        <f>'Sisend'!A36</f>
        <v>78</v>
      </c>
      <c r="B5" s="271"/>
      <c r="C5" s="271"/>
      <c r="D5" s="272"/>
      <c r="E5" s="377">
        <f>'Sisend'!D36</f>
        <v>0</v>
      </c>
      <c r="F5" s="378">
        <f>E5*'Sisend'!$H$28/'Sisend'!$G$28</f>
        <v>0</v>
      </c>
      <c r="G5" s="379">
        <f>'Sisend'!E36*'Sisend'!$H$28/'Sisend'!$G$28</f>
        <v>2867.801154283430</v>
      </c>
      <c r="H5" s="379">
        <f>G5*$O$11/(1+$O$11)</f>
        <v>517.144470444553</v>
      </c>
      <c r="I5" s="380">
        <f>$Z$11</f>
        <v>0.2</v>
      </c>
      <c r="J5" s="378">
        <f>G5*I5</f>
        <v>573.560230856686</v>
      </c>
      <c r="K5" s="378">
        <f>E5*'Sisend'!$K$28/'Sisend'!$G$28</f>
        <v>0</v>
      </c>
      <c r="L5" t="s" s="381">
        <f>A5</f>
        <v>78</v>
      </c>
      <c r="M5" s="296"/>
      <c r="N5" s="296"/>
      <c r="O5" s="296"/>
      <c r="P5" s="382">
        <v>0</v>
      </c>
      <c r="Q5" s="382">
        <f>G5</f>
        <v>2867.801154283430</v>
      </c>
      <c r="R5" s="382">
        <f>Q5*$R$14</f>
        <v>1462.578588684550</v>
      </c>
      <c r="S5" s="382">
        <f>P5+R5</f>
        <v>1462.578588684550</v>
      </c>
      <c r="T5" s="382">
        <f>S5*$R$15</f>
        <v>2208.493668913670</v>
      </c>
      <c r="U5" s="382">
        <f>S5+T5</f>
        <v>3671.072257598220</v>
      </c>
      <c r="V5" s="382">
        <f>H5</f>
        <v>517.144470444553</v>
      </c>
      <c r="W5" s="382">
        <v>0</v>
      </c>
      <c r="X5" s="382">
        <f>J5+K5</f>
        <v>573.560230856686</v>
      </c>
      <c r="Y5" s="382">
        <f>X5*$Z$11</f>
        <v>114.712046171337</v>
      </c>
      <c r="Z5" s="382">
        <f>W5+Y5</f>
        <v>114.712046171337</v>
      </c>
      <c r="AA5" s="382">
        <f>Z5*$Z$12</f>
        <v>129.624612173611</v>
      </c>
      <c r="AB5" s="382">
        <f>Z5+AA5</f>
        <v>244.336658344948</v>
      </c>
      <c r="AC5" s="382">
        <v>0</v>
      </c>
      <c r="AD5" s="383"/>
      <c r="AE5" s="384"/>
      <c r="AF5" s="385"/>
    </row>
    <row r="6" ht="14.5" customHeight="1">
      <c r="A6" t="s" s="376">
        <f>'Sisend'!A37</f>
        <v>79</v>
      </c>
      <c r="B6" s="271"/>
      <c r="C6" s="271"/>
      <c r="D6" s="272"/>
      <c r="E6" s="377">
        <f>'Sisend'!D37</f>
        <v>191550</v>
      </c>
      <c r="F6" s="378">
        <f>E6*'Sisend'!$H$28/'Sisend'!$G$28</f>
        <v>14456.5366217024</v>
      </c>
      <c r="G6" s="379">
        <f>'Sisend'!E37*'Sisend'!$H$28/'Sisend'!$G$28</f>
        <v>11010.9402343475</v>
      </c>
      <c r="H6" s="379">
        <f>G6*O14</f>
        <v>3226.205488663820</v>
      </c>
      <c r="I6" s="380">
        <f>$Z$11</f>
        <v>0.2</v>
      </c>
      <c r="J6" s="378">
        <f>G6*I6</f>
        <v>2202.1880468695</v>
      </c>
      <c r="K6" s="378">
        <f>E6*'Sisend'!$K$28/'Sisend'!$G$28</f>
        <v>157195.139656029</v>
      </c>
      <c r="L6" t="s" s="348">
        <v>79</v>
      </c>
      <c r="M6" s="296"/>
      <c r="N6" s="296"/>
      <c r="O6" s="296"/>
      <c r="P6" s="382">
        <f>G6</f>
        <v>11010.9402343475</v>
      </c>
      <c r="Q6" s="382">
        <v>0</v>
      </c>
      <c r="R6" s="382">
        <v>0</v>
      </c>
      <c r="S6" s="382">
        <f>P6+R6</f>
        <v>11010.9402343475</v>
      </c>
      <c r="T6" s="382">
        <f>S6*$R$15</f>
        <v>16626.5197538647</v>
      </c>
      <c r="U6" s="382">
        <f>S6+T6</f>
        <v>27637.4599882122</v>
      </c>
      <c r="V6" s="382">
        <f>H6</f>
        <v>3226.205488663820</v>
      </c>
      <c r="W6" s="382">
        <f>J6+K6</f>
        <v>159397.327702899</v>
      </c>
      <c r="X6" s="382">
        <v>0</v>
      </c>
      <c r="Y6" s="382"/>
      <c r="Z6" s="382">
        <f>W6+Y6</f>
        <v>159397.327702899</v>
      </c>
      <c r="AA6" s="382">
        <f>Z6*$Z$12</f>
        <v>180118.980304276</v>
      </c>
      <c r="AB6" s="382">
        <f>Z6+AA6</f>
        <v>339516.308007175</v>
      </c>
      <c r="AC6" s="382">
        <f>W6*V14</f>
        <v>14186.362165558</v>
      </c>
      <c r="AD6" s="383"/>
      <c r="AE6" s="384"/>
      <c r="AF6" s="385"/>
    </row>
    <row r="7" ht="15" customHeight="1">
      <c r="A7" t="s" s="376">
        <f>'Sisend'!A38</f>
        <v>81</v>
      </c>
      <c r="B7" s="271"/>
      <c r="C7" s="271"/>
      <c r="D7" s="272"/>
      <c r="E7" s="377">
        <f>'Sisend'!D38</f>
        <v>285879</v>
      </c>
      <c r="F7" s="378">
        <f>E7*'Sisend'!$H$28/'Sisend'!$G$28</f>
        <v>21575.6733640077</v>
      </c>
      <c r="G7" s="379">
        <f>'Sisend'!E38*'Sisend'!$H$28/'Sisend'!$G$28</f>
        <v>20670.0171935016</v>
      </c>
      <c r="H7" s="379">
        <f>G7*$O$11/(1+$O$11)</f>
        <v>3727.380149647830</v>
      </c>
      <c r="I7" s="380">
        <f>$Z$11</f>
        <v>0.2</v>
      </c>
      <c r="J7" s="378">
        <f>G7*I7</f>
        <v>4134.003438700320</v>
      </c>
      <c r="K7" s="378">
        <f>E7*'Sisend'!$K$28/'Sisend'!$G$28</f>
        <v>234606.052360876</v>
      </c>
      <c r="L7" t="s" s="381">
        <f>A7</f>
        <v>81</v>
      </c>
      <c r="M7" s="296"/>
      <c r="N7" s="296"/>
      <c r="O7" s="296"/>
      <c r="P7" s="382">
        <v>0</v>
      </c>
      <c r="Q7" s="382">
        <f>G7</f>
        <v>20670.0171935016</v>
      </c>
      <c r="R7" s="382">
        <f>Q7*$R$14</f>
        <v>10541.7087686858</v>
      </c>
      <c r="S7" s="382">
        <f>P7+R7</f>
        <v>10541.7087686858</v>
      </c>
      <c r="T7" s="382">
        <f>S7*$R$15</f>
        <v>15917.9802407156</v>
      </c>
      <c r="U7" s="382">
        <f>S7+T7</f>
        <v>26459.6890094014</v>
      </c>
      <c r="V7" s="382">
        <f>H7</f>
        <v>3727.380149647830</v>
      </c>
      <c r="W7" s="382">
        <v>0</v>
      </c>
      <c r="X7" s="382">
        <f>J7+K7</f>
        <v>238740.055799576</v>
      </c>
      <c r="Y7" s="382">
        <f>X7*$Z$11</f>
        <v>47748.0111599152</v>
      </c>
      <c r="Z7" s="382">
        <f>W7+Y7</f>
        <v>47748.0111599152</v>
      </c>
      <c r="AA7" s="382">
        <f>Z7*$Z$12</f>
        <v>53955.2526107042</v>
      </c>
      <c r="AB7" s="382">
        <f>Z7+AA7</f>
        <v>101703.263770619</v>
      </c>
      <c r="AC7" s="382">
        <v>0</v>
      </c>
      <c r="AD7" s="383"/>
      <c r="AE7" s="383"/>
      <c r="AF7" s="385"/>
    </row>
    <row r="8" ht="14.5" customHeight="1">
      <c r="A8" t="s" s="386">
        <v>317</v>
      </c>
      <c r="B8" s="387"/>
      <c r="C8" s="387"/>
      <c r="D8" s="388"/>
      <c r="E8" s="389">
        <f>'Sisend'!D31</f>
        <v>521242</v>
      </c>
      <c r="F8" s="390">
        <f>E8*'Sisend'!$H$28/'Sisend'!$G$28</f>
        <v>39338.8361355751</v>
      </c>
      <c r="G8" s="103">
        <f>'Sisend'!E31*'Sisend'!$H$28/'Sisend'!$G$28</f>
        <v>35404.9525220176</v>
      </c>
      <c r="H8" s="103">
        <f>IF((E14=1),SUM(H2:H7),G8*'Parameetrid'!B16)</f>
        <v>8125.982788521120</v>
      </c>
      <c r="I8" s="391">
        <f>$Z$11</f>
        <v>0.2</v>
      </c>
      <c r="J8" s="392">
        <f>IF((E14=1),SUM(J2:J7),G8*I8)</f>
        <v>7513.999475680320</v>
      </c>
      <c r="K8" s="392">
        <f>IF((E14=1),SUM(K2:K7),(E8*'Sisend'!K28/'Sisend'!G28))</f>
        <v>427756.246330398</v>
      </c>
      <c r="L8" t="s" s="393">
        <f>A8</f>
        <v>318</v>
      </c>
      <c r="M8" s="394"/>
      <c r="N8" s="394"/>
      <c r="O8" s="394"/>
      <c r="P8" s="395">
        <f>IF((E14=1),SUM(P2:P7),G8*0.4)</f>
        <v>11010.9402343475</v>
      </c>
      <c r="Q8" s="395">
        <f>IF((E14=2),G8*0.6,SUM(Q2:Q7))</f>
        <v>26559.0571440541</v>
      </c>
      <c r="R8" s="395">
        <f>IF((E14=2),Q8*R14,SUM(R2:R7))</f>
        <v>13545.1191434676</v>
      </c>
      <c r="S8" s="395">
        <f>IF((E14=2),(P8+R8),SUM(S2:S7))</f>
        <v>24556.0593778151</v>
      </c>
      <c r="T8" s="395">
        <f>IF((E14=2),(S8*R15),SUM(T2:T7))</f>
        <v>37079.6496605008</v>
      </c>
      <c r="U8" s="395">
        <f>IF((E14=1),SUM(U2:U7),(S8+T8))</f>
        <v>61635.7090383159</v>
      </c>
      <c r="V8" s="395">
        <f>H8</f>
        <v>8125.982788521120</v>
      </c>
      <c r="W8" s="395">
        <f>IF((E14=1),SUM(W2:W7),(J8+K8)*0.4)</f>
        <v>159397.327702899</v>
      </c>
      <c r="X8" s="395">
        <f>IF((E14=1),SUM(X2:X7),(J8+K8)*0.6)</f>
        <v>275872.91810318</v>
      </c>
      <c r="Y8" s="395">
        <f>IF((E14=1),SUM(Y2:Y7),(X8*Z11))</f>
        <v>55174.5836206359</v>
      </c>
      <c r="Z8" s="395">
        <f>IF((E14=1),SUM(Z2:Z7),W8+Y8)</f>
        <v>214571.911323535</v>
      </c>
      <c r="AA8" s="395">
        <f>IF((E14=1),SUM(AA2:AA7),Z8*Z12)</f>
        <v>242466.259795595</v>
      </c>
      <c r="AB8" s="395">
        <f>IF((E14=1),SUM(AB2:AB7),Z8+AA8)</f>
        <v>457038.171119129</v>
      </c>
      <c r="AC8" s="395">
        <f>IF((E14=1),SUM(AC2:AC7),W8*V14)</f>
        <v>14186.362165558</v>
      </c>
      <c r="AD8" s="383"/>
      <c r="AE8" s="383"/>
      <c r="AF8" s="385"/>
    </row>
    <row r="9" ht="29.1" customHeight="1">
      <c r="A9" t="s" s="396">
        <v>319</v>
      </c>
      <c r="B9" s="397"/>
      <c r="C9" s="397"/>
      <c r="D9" s="398"/>
      <c r="E9" t="s" s="399">
        <v>320</v>
      </c>
      <c r="F9" t="s" s="102">
        <v>321</v>
      </c>
      <c r="G9" t="s" s="102">
        <v>322</v>
      </c>
      <c r="H9" t="s" s="69">
        <v>323</v>
      </c>
      <c r="I9" t="s" s="41">
        <v>324</v>
      </c>
      <c r="J9" s="400"/>
      <c r="K9" s="383"/>
      <c r="L9" s="383"/>
      <c r="M9" s="383"/>
      <c r="N9" s="401"/>
      <c r="O9" s="401"/>
      <c r="P9" s="402"/>
      <c r="Q9" t="s" s="403">
        <v>325</v>
      </c>
      <c r="R9" t="s" s="320">
        <v>326</v>
      </c>
      <c r="S9" t="s" s="320">
        <v>327</v>
      </c>
      <c r="T9" t="s" s="320">
        <v>328</v>
      </c>
      <c r="U9" s="404"/>
      <c r="V9" s="404"/>
      <c r="W9" s="404"/>
      <c r="X9" s="404"/>
      <c r="Y9" s="404"/>
      <c r="Z9" s="404"/>
      <c r="AA9" s="404"/>
      <c r="AB9" s="404"/>
      <c r="AC9" s="404"/>
      <c r="AD9" s="383"/>
      <c r="AE9" s="383"/>
      <c r="AF9" s="385"/>
    </row>
    <row r="10" ht="13.55" customHeight="1">
      <c r="A10" t="s" s="405">
        <v>53</v>
      </c>
      <c r="B10" s="387"/>
      <c r="C10" s="387"/>
      <c r="D10" s="388"/>
      <c r="E10" s="406">
        <f>E12+E13</f>
        <v>2823.2</v>
      </c>
      <c r="F10" s="406">
        <f>F12+F13</f>
        <v>0</v>
      </c>
      <c r="G10" s="406">
        <f>G12+G13</f>
        <v>2525.6</v>
      </c>
      <c r="H10" s="406">
        <f>H12+H13</f>
        <v>297.6</v>
      </c>
      <c r="I10" s="336">
        <f>'Sisend'!B6</f>
        <v>4</v>
      </c>
      <c r="J10" s="400"/>
      <c r="K10" s="383"/>
      <c r="L10" s="383"/>
      <c r="M10" s="383"/>
      <c r="N10" s="383"/>
      <c r="O10" s="383"/>
      <c r="P10" t="s" s="407">
        <v>329</v>
      </c>
      <c r="Q10" s="408">
        <f>IF('Sisend'!D31&gt;'Sisend'!E31,('Sisend'!D31-'Sisend'!E31)*'Sisend'!I28/'Sisend'!G28,0)</f>
        <v>48190.3163864425</v>
      </c>
      <c r="R10" s="408">
        <f>Q10*'Sisend'!K28/'Sisend'!I28</f>
        <v>42775.6246330398</v>
      </c>
      <c r="S10" s="408">
        <f>'Sisend'!J28*(1-I8)</f>
        <v>49200</v>
      </c>
      <c r="T10" s="408">
        <f>R10+S10</f>
        <v>91975.6246330398</v>
      </c>
      <c r="U10" s="383"/>
      <c r="V10" s="383"/>
      <c r="W10" t="s" s="163">
        <v>330</v>
      </c>
      <c r="X10" s="296"/>
      <c r="Y10" s="296"/>
      <c r="Z10" s="341">
        <f>'KOV-id'!F6</f>
        <v>3</v>
      </c>
      <c r="AA10" t="s" s="409">
        <f>IF((Z10=1),"Tallinn",(IF((Z10=2),"Tartu","maapiirkond")))</f>
        <v>331</v>
      </c>
      <c r="AB10" s="383"/>
      <c r="AC10" s="383"/>
      <c r="AD10" s="383"/>
      <c r="AE10" s="383"/>
      <c r="AF10" s="385"/>
    </row>
    <row r="11" ht="14.5" customHeight="1">
      <c r="A11" t="s" s="410">
        <v>332</v>
      </c>
      <c r="B11" s="411"/>
      <c r="C11" s="411"/>
      <c r="D11" s="412"/>
      <c r="E11" s="413">
        <f>'Sisend'!B5</f>
        <v>4000</v>
      </c>
      <c r="F11" s="414">
        <f>E11-G11-H11</f>
        <v>400</v>
      </c>
      <c r="G11" s="414">
        <f>E11*'Sisend'!C16</f>
        <v>3280</v>
      </c>
      <c r="H11" s="414">
        <f>E11*'Sisend'!C15</f>
        <v>320</v>
      </c>
      <c r="I11" s="415"/>
      <c r="J11" s="383"/>
      <c r="K11" s="383"/>
      <c r="L11" t="s" s="163">
        <v>211</v>
      </c>
      <c r="M11" s="296"/>
      <c r="N11" s="296"/>
      <c r="O11" s="416">
        <f>'Parameetrid'!B11</f>
        <v>0.22</v>
      </c>
      <c r="P11" t="s" s="163">
        <v>333</v>
      </c>
      <c r="Q11" s="296"/>
      <c r="R11" s="416">
        <v>0.3</v>
      </c>
      <c r="S11" s="383"/>
      <c r="T11" s="383"/>
      <c r="U11" s="383"/>
      <c r="V11" s="383"/>
      <c r="W11" t="s" s="163">
        <v>334</v>
      </c>
      <c r="X11" s="296"/>
      <c r="Y11" s="296"/>
      <c r="Z11" s="341">
        <f>IF(($Z$10=1),'Parameetrid'!B7,(IF(($Z$10=2),'Parameetrid'!B8,'Parameetrid'!B9)))</f>
        <v>0.2</v>
      </c>
      <c r="AA11" s="383"/>
      <c r="AB11" s="383"/>
      <c r="AC11" s="383"/>
      <c r="AD11" s="383"/>
      <c r="AE11" s="383"/>
      <c r="AF11" s="385"/>
    </row>
    <row r="12" ht="13.55" customHeight="1">
      <c r="A12" t="s" s="376">
        <v>335</v>
      </c>
      <c r="B12" s="417"/>
      <c r="C12" s="417"/>
      <c r="D12" s="418"/>
      <c r="E12" s="419">
        <f>G12+H12</f>
        <v>2189.6</v>
      </c>
      <c r="F12" s="419">
        <v>0</v>
      </c>
      <c r="G12" s="419">
        <f>G11*'Parameetrid'!I16</f>
        <v>2000.8</v>
      </c>
      <c r="H12" s="414">
        <f>H11*'Parameetrid'!I17</f>
        <v>188.8</v>
      </c>
      <c r="I12" s="400"/>
      <c r="J12" s="383"/>
      <c r="K12" s="383"/>
      <c r="L12" t="s" s="163">
        <v>218</v>
      </c>
      <c r="M12" s="296"/>
      <c r="N12" s="296"/>
      <c r="O12" s="416">
        <f>'Parameetrid'!B12</f>
        <v>0.13</v>
      </c>
      <c r="P12" t="s" s="163">
        <v>336</v>
      </c>
      <c r="Q12" s="296"/>
      <c r="R12" s="416">
        <v>0.05</v>
      </c>
      <c r="S12" s="383"/>
      <c r="T12" s="383"/>
      <c r="U12" s="383"/>
      <c r="V12" s="383"/>
      <c r="W12" t="s" s="163">
        <v>337</v>
      </c>
      <c r="X12" s="296"/>
      <c r="Y12" s="296"/>
      <c r="Z12" s="341">
        <f>IF(($Z$10=1),'Parameetrid'!C7,(IF(($Z$10=2),'Parameetrid'!C8,'Parameetrid'!C9)))</f>
        <v>1.13</v>
      </c>
      <c r="AA12" s="383"/>
      <c r="AB12" s="383"/>
      <c r="AC12" s="383"/>
      <c r="AD12" s="383"/>
      <c r="AE12" s="383"/>
      <c r="AF12" s="385"/>
    </row>
    <row r="13" ht="14.5" customHeight="1">
      <c r="A13" t="s" s="376">
        <v>338</v>
      </c>
      <c r="B13" s="417"/>
      <c r="C13" s="417"/>
      <c r="D13" s="418"/>
      <c r="E13" s="420">
        <f>G13+H13</f>
        <v>633.6</v>
      </c>
      <c r="F13" s="419">
        <v>0</v>
      </c>
      <c r="G13" s="419">
        <f>'Parameetrid'!I19*G11</f>
        <v>524.8</v>
      </c>
      <c r="H13" s="414">
        <f>H11*'Parameetrid'!I20</f>
        <v>108.8</v>
      </c>
      <c r="I13" s="400"/>
      <c r="J13" s="383"/>
      <c r="K13" s="383"/>
      <c r="L13" t="s" s="163">
        <v>220</v>
      </c>
      <c r="M13" s="296"/>
      <c r="N13" s="296"/>
      <c r="O13" s="416">
        <f>'Parameetrid'!B13</f>
        <v>0</v>
      </c>
      <c r="P13" s="383"/>
      <c r="Q13" s="383"/>
      <c r="R13" s="421"/>
      <c r="S13" s="383"/>
      <c r="T13" s="383"/>
      <c r="U13" s="383"/>
      <c r="V13" s="383"/>
      <c r="W13" s="383"/>
      <c r="X13" s="383"/>
      <c r="Y13" s="383"/>
      <c r="Z13" s="383"/>
      <c r="AA13" s="383"/>
      <c r="AB13" s="383"/>
      <c r="AC13" s="383"/>
      <c r="AD13" s="383"/>
      <c r="AE13" s="383"/>
      <c r="AF13" s="385"/>
    </row>
    <row r="14" ht="13.55" customHeight="1">
      <c r="A14" t="s" s="298">
        <v>339</v>
      </c>
      <c r="B14" s="280"/>
      <c r="C14" s="280"/>
      <c r="D14" s="280"/>
      <c r="E14" s="422">
        <f>IF(('Sisend'!D31=SUM('Sisend'!D33:D38)),1,2)</f>
        <v>1</v>
      </c>
      <c r="F14" s="423"/>
      <c r="G14" s="423"/>
      <c r="H14" s="423"/>
      <c r="I14" s="383"/>
      <c r="J14" s="383"/>
      <c r="K14" s="383"/>
      <c r="L14" t="s" s="163">
        <v>340</v>
      </c>
      <c r="M14" s="296"/>
      <c r="N14" s="296"/>
      <c r="O14" s="416">
        <f>'Parameetrid'!B14</f>
        <v>0.293</v>
      </c>
      <c r="P14" t="s" s="163">
        <v>341</v>
      </c>
      <c r="Q14" s="296"/>
      <c r="R14" s="327">
        <f>'Parameetrid'!B5</f>
        <v>0.51</v>
      </c>
      <c r="S14" t="s" s="163">
        <v>342</v>
      </c>
      <c r="T14" s="296"/>
      <c r="U14" s="296"/>
      <c r="V14" s="424">
        <f>'Parameetrid'!B15</f>
        <v>0.089</v>
      </c>
      <c r="W14" s="383"/>
      <c r="X14" s="383"/>
      <c r="Y14" s="383"/>
      <c r="Z14" s="383"/>
      <c r="AA14" s="383"/>
      <c r="AB14" s="383"/>
      <c r="AC14" s="383"/>
      <c r="AD14" s="383"/>
      <c r="AE14" s="383"/>
      <c r="AF14" s="385"/>
    </row>
    <row r="15" ht="18" customHeight="1">
      <c r="A15" s="425"/>
      <c r="B15" s="426"/>
      <c r="C15" s="426"/>
      <c r="D15" s="426"/>
      <c r="E15" s="426"/>
      <c r="F15" s="426"/>
      <c r="G15" s="426"/>
      <c r="H15" s="426"/>
      <c r="I15" s="427"/>
      <c r="J15" s="427"/>
      <c r="K15" s="428"/>
      <c r="L15" s="429"/>
      <c r="M15" s="430"/>
      <c r="N15" s="430"/>
      <c r="O15" s="430"/>
      <c r="P15" t="s" s="163">
        <v>343</v>
      </c>
      <c r="Q15" s="296"/>
      <c r="R15" s="327">
        <f>'Parameetrid'!C5</f>
        <v>1.51</v>
      </c>
      <c r="S15" s="431"/>
      <c r="T15" s="431"/>
      <c r="U15" s="431"/>
      <c r="V15" s="431"/>
      <c r="W15" s="431"/>
      <c r="X15" s="432"/>
      <c r="Y15" s="432"/>
      <c r="Z15" s="432"/>
      <c r="AA15" s="432"/>
      <c r="AB15" s="432"/>
      <c r="AC15" s="432"/>
      <c r="AD15" s="383"/>
      <c r="AE15" s="383"/>
      <c r="AF15" s="385"/>
    </row>
    <row r="16" ht="57.75" customHeight="1">
      <c r="A16" t="s" s="433">
        <v>344</v>
      </c>
      <c r="B16" s="434"/>
      <c r="C16" s="434"/>
      <c r="D16" s="434"/>
      <c r="E16" t="s" s="51">
        <v>345</v>
      </c>
      <c r="F16" t="s" s="51">
        <v>346</v>
      </c>
      <c r="G16" t="s" s="51">
        <v>347</v>
      </c>
      <c r="H16" t="s" s="51">
        <v>348</v>
      </c>
      <c r="I16" s="435"/>
      <c r="J16" s="415"/>
      <c r="K16" s="423"/>
      <c r="L16" t="s" s="436">
        <v>344</v>
      </c>
      <c r="M16" s="437"/>
      <c r="N16" s="437"/>
      <c r="O16" s="437"/>
      <c r="P16" t="s" s="320">
        <f>P1</f>
        <v>133</v>
      </c>
      <c r="Q16" t="s" s="320">
        <f>Q1</f>
        <v>312</v>
      </c>
      <c r="R16" t="s" s="320">
        <f>R1</f>
        <v>135</v>
      </c>
      <c r="S16" t="s" s="320">
        <f>S1</f>
        <v>131</v>
      </c>
      <c r="T16" t="s" s="320">
        <f>T1</f>
        <v>139</v>
      </c>
      <c r="U16" t="s" s="320">
        <f>U1</f>
        <v>313</v>
      </c>
      <c r="V16" t="s" s="320">
        <f>V1</f>
        <v>314</v>
      </c>
      <c r="W16" t="s" s="438">
        <f>W1</f>
        <v>349</v>
      </c>
      <c r="X16" t="s" s="438">
        <f>X1</f>
        <v>350</v>
      </c>
      <c r="Y16" t="s" s="438">
        <f>Y1</f>
        <v>351</v>
      </c>
      <c r="Z16" t="s" s="438">
        <f>Z1</f>
        <v>352</v>
      </c>
      <c r="AA16" t="s" s="438">
        <f>AA1</f>
        <v>353</v>
      </c>
      <c r="AB16" t="s" s="438">
        <f>AB1</f>
        <v>354</v>
      </c>
      <c r="AC16" t="s" s="438">
        <f>AC1</f>
        <v>355</v>
      </c>
      <c r="AD16" s="383"/>
      <c r="AE16" s="383"/>
      <c r="AF16" s="385"/>
    </row>
    <row r="17" ht="16.5" customHeight="1">
      <c r="A17" t="s" s="270">
        <v>200</v>
      </c>
      <c r="B17" s="271"/>
      <c r="C17" s="271"/>
      <c r="D17" s="272"/>
      <c r="E17" s="439">
        <f>$H$10*'Parameetrid'!I5*'Sisend'!$G$15</f>
        <v>12722.4</v>
      </c>
      <c r="F17" s="440">
        <f>'Sisend'!$H$15/'Sisend'!$G$15</f>
        <v>1</v>
      </c>
      <c r="G17" s="378">
        <f>E17*F17</f>
        <v>12722.4</v>
      </c>
      <c r="H17" s="441">
        <f>'Parameetrid'!J5*'Sisend'!$H$16*$G$10</f>
        <v>88396</v>
      </c>
      <c r="I17" s="442"/>
      <c r="J17" s="383"/>
      <c r="K17" s="383"/>
      <c r="L17" t="s" s="163">
        <f>A17</f>
        <v>200</v>
      </c>
      <c r="M17" s="296"/>
      <c r="N17" s="296"/>
      <c r="O17" s="296"/>
      <c r="P17" s="443">
        <v>0</v>
      </c>
      <c r="Q17" s="443">
        <f>E17</f>
        <v>12722.4</v>
      </c>
      <c r="R17" s="443">
        <f>Q17*$R$14</f>
        <v>6488.424</v>
      </c>
      <c r="S17" s="443">
        <f>P17+R17</f>
        <v>6488.424</v>
      </c>
      <c r="T17" s="443">
        <f>S17*$R$15</f>
        <v>9797.52024</v>
      </c>
      <c r="U17" s="443">
        <f>S17+T17</f>
        <v>16285.94424</v>
      </c>
      <c r="V17" s="444">
        <f>S17*$O$11/(1+$O$11)+R12*U17</f>
        <v>1984.340884131150</v>
      </c>
      <c r="W17" s="443">
        <v>0</v>
      </c>
      <c r="X17" s="443">
        <f>G17+H17</f>
        <v>101118.4</v>
      </c>
      <c r="Y17" s="443">
        <f>X17*$Z$11</f>
        <v>20223.68</v>
      </c>
      <c r="Z17" s="443">
        <f>W17+Y17</f>
        <v>20223.68</v>
      </c>
      <c r="AA17" s="443">
        <f>Z17*$Z$12</f>
        <v>22852.7584</v>
      </c>
      <c r="AB17" s="443">
        <f>Z17+AA17</f>
        <v>43076.4384</v>
      </c>
      <c r="AC17" s="445">
        <v>0</v>
      </c>
      <c r="AD17" s="383"/>
      <c r="AE17" s="383"/>
      <c r="AF17" s="385"/>
    </row>
    <row r="18" ht="14.5" customHeight="1">
      <c r="A18" t="s" s="270">
        <v>202</v>
      </c>
      <c r="B18" s="271"/>
      <c r="C18" s="271"/>
      <c r="D18" s="272"/>
      <c r="E18" s="439">
        <f>$H$10*'Parameetrid'!I6*'Sisend'!$G$15</f>
        <v>12722.4</v>
      </c>
      <c r="F18" s="440">
        <f>'Sisend'!$H$15/'Sisend'!$G$15</f>
        <v>1</v>
      </c>
      <c r="G18" s="378">
        <f>E18*F18</f>
        <v>12722.4</v>
      </c>
      <c r="H18" s="441">
        <f>'Parameetrid'!J6*'Sisend'!$H$16*$G$10</f>
        <v>88396</v>
      </c>
      <c r="I18" s="442"/>
      <c r="J18" s="383"/>
      <c r="K18" s="383"/>
      <c r="L18" t="s" s="163">
        <f>A18</f>
        <v>202</v>
      </c>
      <c r="M18" s="296"/>
      <c r="N18" s="296"/>
      <c r="O18" s="296"/>
      <c r="P18" s="443">
        <v>0</v>
      </c>
      <c r="Q18" s="443">
        <f>E18</f>
        <v>12722.4</v>
      </c>
      <c r="R18" s="443">
        <f>Q18*$R$14</f>
        <v>6488.424</v>
      </c>
      <c r="S18" s="443">
        <f>P18+R18</f>
        <v>6488.424</v>
      </c>
      <c r="T18" s="443">
        <f>S18*$R$15</f>
        <v>9797.52024</v>
      </c>
      <c r="U18" s="443">
        <f>S18+T18</f>
        <v>16285.94424</v>
      </c>
      <c r="V18" s="444">
        <f>S18*$O$11/(1+$O$11)+R12*U18</f>
        <v>1984.340884131150</v>
      </c>
      <c r="W18" s="443">
        <v>0</v>
      </c>
      <c r="X18" s="443">
        <f>G18+H18</f>
        <v>101118.4</v>
      </c>
      <c r="Y18" s="443">
        <f>X18*$Z$11</f>
        <v>20223.68</v>
      </c>
      <c r="Z18" s="443">
        <f>W18+Y18</f>
        <v>20223.68</v>
      </c>
      <c r="AA18" s="443">
        <f>Z18*$Z$12</f>
        <v>22852.7584</v>
      </c>
      <c r="AB18" s="443">
        <f>Z18+AA18</f>
        <v>43076.4384</v>
      </c>
      <c r="AC18" s="445">
        <v>0</v>
      </c>
      <c r="AD18" s="383"/>
      <c r="AE18" s="383"/>
      <c r="AF18" s="385"/>
    </row>
    <row r="19" ht="14.5" customHeight="1">
      <c r="A19" t="s" s="270">
        <v>204</v>
      </c>
      <c r="B19" s="271"/>
      <c r="C19" s="271"/>
      <c r="D19" s="272"/>
      <c r="E19" s="439">
        <f>$H$10*'Parameetrid'!I7*'Sisend'!$G$15</f>
        <v>7960.8</v>
      </c>
      <c r="F19" s="440">
        <f>'Sisend'!$H$15/'Sisend'!$G$15</f>
        <v>1</v>
      </c>
      <c r="G19" s="378">
        <f>E19*F19</f>
        <v>7960.8</v>
      </c>
      <c r="H19" s="441">
        <f>'Parameetrid'!J7*'Sisend'!$H$16*$G$10</f>
        <v>80503.5</v>
      </c>
      <c r="I19" s="442"/>
      <c r="J19" s="383"/>
      <c r="K19" s="383"/>
      <c r="L19" t="s" s="163">
        <f>A19</f>
        <v>204</v>
      </c>
      <c r="M19" s="296"/>
      <c r="N19" s="296"/>
      <c r="O19" s="296"/>
      <c r="P19" s="443">
        <v>0</v>
      </c>
      <c r="Q19" s="443">
        <f>E19</f>
        <v>7960.8</v>
      </c>
      <c r="R19" s="443">
        <f>Q19*$R$14</f>
        <v>4060.008</v>
      </c>
      <c r="S19" s="443">
        <f>P19+R19</f>
        <v>4060.008</v>
      </c>
      <c r="T19" s="443">
        <f>S19*$R$15</f>
        <v>6130.61208</v>
      </c>
      <c r="U19" s="443">
        <f>S19+T19</f>
        <v>10190.62008</v>
      </c>
      <c r="V19" s="444">
        <f>S19*$O$11/(1+$O$11)</f>
        <v>732.132590163934</v>
      </c>
      <c r="W19" s="443">
        <v>0</v>
      </c>
      <c r="X19" s="443">
        <f>G19+H19</f>
        <v>88464.3</v>
      </c>
      <c r="Y19" s="443">
        <f>X19*$Z$11</f>
        <v>17692.86</v>
      </c>
      <c r="Z19" s="443">
        <f>W19+Y19</f>
        <v>17692.86</v>
      </c>
      <c r="AA19" s="443">
        <f>Z19*$Z$12</f>
        <v>19992.9318</v>
      </c>
      <c r="AB19" s="443">
        <f>Z19+AA19</f>
        <v>37685.7918</v>
      </c>
      <c r="AC19" s="445">
        <v>0</v>
      </c>
      <c r="AD19" s="383"/>
      <c r="AE19" s="383"/>
      <c r="AF19" s="385"/>
    </row>
    <row r="20" ht="14.5" customHeight="1">
      <c r="A20" t="s" s="270">
        <v>206</v>
      </c>
      <c r="B20" s="271"/>
      <c r="C20" s="271"/>
      <c r="D20" s="272"/>
      <c r="E20" s="439">
        <f>$H$10*'Parameetrid'!I8*'Sisend'!$G$15</f>
        <v>39580.8</v>
      </c>
      <c r="F20" s="440">
        <f>'Sisend'!$H$15/'Sisend'!$G$15</f>
        <v>1</v>
      </c>
      <c r="G20" s="378">
        <f>E20*F20</f>
        <v>39580.8</v>
      </c>
      <c r="H20" s="441">
        <f>'Parameetrid'!J8*'Sisend'!$H$16*$G$10</f>
        <v>161638.4</v>
      </c>
      <c r="I20" s="442"/>
      <c r="J20" s="383"/>
      <c r="K20" s="383"/>
      <c r="L20" t="s" s="163">
        <f>A20</f>
        <v>206</v>
      </c>
      <c r="M20" s="296"/>
      <c r="N20" s="296"/>
      <c r="O20" s="296"/>
      <c r="P20" s="443">
        <v>0</v>
      </c>
      <c r="Q20" s="443">
        <f>E20</f>
        <v>39580.8</v>
      </c>
      <c r="R20" s="443">
        <f>Q20*$R$14</f>
        <v>20186.208</v>
      </c>
      <c r="S20" s="443">
        <f>P20+R20</f>
        <v>20186.208</v>
      </c>
      <c r="T20" s="443">
        <f>S20*$R$15</f>
        <v>30481.17408</v>
      </c>
      <c r="U20" s="443">
        <f>S20+T20</f>
        <v>50667.38208</v>
      </c>
      <c r="V20" s="444">
        <f>S20*$O$12/(1+$O$12)</f>
        <v>2322.307115044250</v>
      </c>
      <c r="W20" s="443">
        <v>0</v>
      </c>
      <c r="X20" s="443">
        <f>G20+H20</f>
        <v>201219.2</v>
      </c>
      <c r="Y20" s="443">
        <f>X20*$Z$11</f>
        <v>40243.84</v>
      </c>
      <c r="Z20" s="443">
        <f>W20+Y20</f>
        <v>40243.84</v>
      </c>
      <c r="AA20" s="443">
        <f>Z20*$Z$12</f>
        <v>45475.5392</v>
      </c>
      <c r="AB20" s="443">
        <f>Z20+AA20</f>
        <v>85719.3792</v>
      </c>
      <c r="AC20" s="445">
        <v>0</v>
      </c>
      <c r="AD20" s="383"/>
      <c r="AE20" s="383"/>
      <c r="AF20" s="385"/>
    </row>
    <row r="21" ht="14.5" customHeight="1">
      <c r="A21" t="s" s="270">
        <v>208</v>
      </c>
      <c r="B21" s="271"/>
      <c r="C21" s="271"/>
      <c r="D21" s="272"/>
      <c r="E21" s="439">
        <f>$H$10*'Parameetrid'!I9*'Sisend'!$G$15</f>
        <v>7365.6</v>
      </c>
      <c r="F21" s="440">
        <f>'Sisend'!$H$15/'Sisend'!$G$15</f>
        <v>1</v>
      </c>
      <c r="G21" s="378">
        <f>E21*F21</f>
        <v>7365.6</v>
      </c>
      <c r="H21" s="441">
        <f>'Parameetrid'!J9*'Sisend'!$H$16*$G$10</f>
        <v>61561.5</v>
      </c>
      <c r="I21" s="442"/>
      <c r="J21" s="383"/>
      <c r="K21" s="383"/>
      <c r="L21" t="s" s="163">
        <f>A21</f>
        <v>208</v>
      </c>
      <c r="M21" s="296"/>
      <c r="N21" s="296"/>
      <c r="O21" s="296"/>
      <c r="P21" s="443">
        <v>0</v>
      </c>
      <c r="Q21" s="443">
        <f>E21</f>
        <v>7365.6</v>
      </c>
      <c r="R21" s="443">
        <f>Q21*$R$14</f>
        <v>3756.456</v>
      </c>
      <c r="S21" s="443">
        <f>P21+R21</f>
        <v>3756.456</v>
      </c>
      <c r="T21" s="443">
        <f>S21*$R$15</f>
        <v>5672.24856</v>
      </c>
      <c r="U21" s="443">
        <f>S21+T21</f>
        <v>9428.70456</v>
      </c>
      <c r="V21" s="444">
        <f>S21*$O$11/(1+$O$11)+S21*0.25*R11</f>
        <v>959.127904918033</v>
      </c>
      <c r="W21" s="443">
        <v>0</v>
      </c>
      <c r="X21" s="443">
        <f>G21+H21</f>
        <v>68927.100000000006</v>
      </c>
      <c r="Y21" s="443">
        <f>X21*$Z$11</f>
        <v>13785.42</v>
      </c>
      <c r="Z21" s="443">
        <f>W21+Y21</f>
        <v>13785.42</v>
      </c>
      <c r="AA21" s="443">
        <f>Z21*$Z$12</f>
        <v>15577.5246</v>
      </c>
      <c r="AB21" s="443">
        <f>Z21+AA21</f>
        <v>29362.9446</v>
      </c>
      <c r="AC21" s="445">
        <v>0</v>
      </c>
      <c r="AD21" s="383"/>
      <c r="AE21" s="383"/>
      <c r="AF21" s="385"/>
    </row>
    <row r="22" ht="14.5" customHeight="1">
      <c r="A22" t="s" s="270">
        <v>210</v>
      </c>
      <c r="B22" s="271"/>
      <c r="C22" s="271"/>
      <c r="D22" s="272"/>
      <c r="E22" s="439">
        <f>$H$10*'Parameetrid'!I10*'Sisend'!$G$15</f>
        <v>7365.6</v>
      </c>
      <c r="F22" s="440">
        <f>'Sisend'!$H$15/'Sisend'!$G$15</f>
        <v>1</v>
      </c>
      <c r="G22" s="378">
        <f>E22*F22</f>
        <v>7365.6</v>
      </c>
      <c r="H22" s="441">
        <f>'Parameetrid'!J10*'Sisend'!$H$16*$G$10</f>
        <v>61561.5</v>
      </c>
      <c r="I22" s="442"/>
      <c r="J22" s="383"/>
      <c r="K22" s="383"/>
      <c r="L22" t="s" s="163">
        <f>A22</f>
        <v>210</v>
      </c>
      <c r="M22" s="296"/>
      <c r="N22" s="296"/>
      <c r="O22" s="296"/>
      <c r="P22" s="443">
        <v>0</v>
      </c>
      <c r="Q22" s="443">
        <f>E22</f>
        <v>7365.6</v>
      </c>
      <c r="R22" s="443">
        <f>Q22*$R$14</f>
        <v>3756.456</v>
      </c>
      <c r="S22" s="443">
        <f>P22+R22</f>
        <v>3756.456</v>
      </c>
      <c r="T22" s="443">
        <f>S22*$R$15</f>
        <v>5672.24856</v>
      </c>
      <c r="U22" s="443">
        <f>S22+T22</f>
        <v>9428.70456</v>
      </c>
      <c r="V22" s="444">
        <f>S22*$O$11/(1+$O$11)+R11*0.5*U22</f>
        <v>2091.699388918030</v>
      </c>
      <c r="W22" s="443">
        <v>0</v>
      </c>
      <c r="X22" s="443">
        <f>G22+H22</f>
        <v>68927.100000000006</v>
      </c>
      <c r="Y22" s="443">
        <f>X22*$Z$11</f>
        <v>13785.42</v>
      </c>
      <c r="Z22" s="443">
        <f>W22+Y22</f>
        <v>13785.42</v>
      </c>
      <c r="AA22" s="443">
        <f>Z22*$Z$12</f>
        <v>15577.5246</v>
      </c>
      <c r="AB22" s="443">
        <f>Z22+AA22</f>
        <v>29362.9446</v>
      </c>
      <c r="AC22" s="445">
        <v>0</v>
      </c>
      <c r="AD22" s="383"/>
      <c r="AE22" s="383"/>
      <c r="AF22" s="385"/>
    </row>
    <row r="23" ht="14.5" customHeight="1">
      <c r="A23" t="s" s="270">
        <v>212</v>
      </c>
      <c r="B23" s="271"/>
      <c r="C23" s="271"/>
      <c r="D23" s="272"/>
      <c r="E23" s="439">
        <f>$H$10*'Parameetrid'!I11*'Sisend'!$G$15</f>
        <v>7960.8</v>
      </c>
      <c r="F23" s="440">
        <f>'Sisend'!$H$15/'Sisend'!$G$15</f>
        <v>1</v>
      </c>
      <c r="G23" s="378">
        <f>E23*F23</f>
        <v>7960.8</v>
      </c>
      <c r="H23" s="441">
        <f>'Parameetrid'!J11*'Sisend'!$H$16*$G$10</f>
        <v>80503.5</v>
      </c>
      <c r="I23" s="442"/>
      <c r="J23" s="383"/>
      <c r="K23" s="383"/>
      <c r="L23" t="s" s="163">
        <f>A23</f>
        <v>212</v>
      </c>
      <c r="M23" s="296"/>
      <c r="N23" s="296"/>
      <c r="O23" s="296"/>
      <c r="P23" s="443">
        <v>0</v>
      </c>
      <c r="Q23" s="443">
        <f>E23</f>
        <v>7960.8</v>
      </c>
      <c r="R23" s="443">
        <f>Q23*$R$14</f>
        <v>4060.008</v>
      </c>
      <c r="S23" s="443">
        <f>P23+R23</f>
        <v>4060.008</v>
      </c>
      <c r="T23" s="443">
        <f>S23*$R$15</f>
        <v>6130.61208</v>
      </c>
      <c r="U23" s="443">
        <f>S23+T23</f>
        <v>10190.62008</v>
      </c>
      <c r="V23" s="444">
        <f>S23*$O$11/(1+$O$11)</f>
        <v>732.132590163934</v>
      </c>
      <c r="W23" s="443">
        <v>0</v>
      </c>
      <c r="X23" s="443">
        <f>G23+H23</f>
        <v>88464.3</v>
      </c>
      <c r="Y23" s="443">
        <f>X23*$Z$11</f>
        <v>17692.86</v>
      </c>
      <c r="Z23" s="443">
        <f>W23+Y23</f>
        <v>17692.86</v>
      </c>
      <c r="AA23" s="443">
        <f>Z23*$Z$12</f>
        <v>19992.9318</v>
      </c>
      <c r="AB23" s="443">
        <f>Z23+AA23</f>
        <v>37685.7918</v>
      </c>
      <c r="AC23" s="445">
        <v>0</v>
      </c>
      <c r="AD23" s="383"/>
      <c r="AE23" s="383"/>
      <c r="AF23" s="385"/>
    </row>
    <row r="24" ht="14.65" customHeight="1">
      <c r="A24" t="s" s="386">
        <v>356</v>
      </c>
      <c r="B24" s="387"/>
      <c r="C24" s="387"/>
      <c r="D24" s="388"/>
      <c r="E24" s="446">
        <f>SUM(E17:E23)</f>
        <v>95678.399999999994</v>
      </c>
      <c r="F24" s="447"/>
      <c r="G24" s="448">
        <f>SUM(G17:G23)</f>
        <v>95678.399999999994</v>
      </c>
      <c r="H24" s="449">
        <f>SUM(H17:I23)</f>
        <v>622560.4</v>
      </c>
      <c r="I24" s="450"/>
      <c r="J24" s="400"/>
      <c r="K24" s="383"/>
      <c r="L24" t="s" s="163">
        <f>A24</f>
        <v>357</v>
      </c>
      <c r="M24" s="296"/>
      <c r="N24" s="296"/>
      <c r="O24" s="287"/>
      <c r="P24" s="451">
        <f>SUM(P17:P23)</f>
        <v>0</v>
      </c>
      <c r="Q24" s="451">
        <f>SUM(Q17:Q23)</f>
        <v>95678.399999999994</v>
      </c>
      <c r="R24" s="451">
        <f>SUM(R17:R23)</f>
        <v>48795.984</v>
      </c>
      <c r="S24" s="451">
        <f>SUM(S17:S23)</f>
        <v>48795.984</v>
      </c>
      <c r="T24" s="451">
        <f>SUM(T17:T23)</f>
        <v>73681.935840000006</v>
      </c>
      <c r="U24" s="451">
        <f>SUM(U17:U23)</f>
        <v>122477.91984</v>
      </c>
      <c r="V24" s="451">
        <f>SUM(V17:V23)</f>
        <v>10806.0813574705</v>
      </c>
      <c r="W24" s="451">
        <f>SUM(W17:W23)</f>
        <v>0</v>
      </c>
      <c r="X24" s="451">
        <f>SUM(X17:X23)</f>
        <v>718238.8</v>
      </c>
      <c r="Y24" s="451">
        <f>SUM(Y17:Y23)</f>
        <v>143647.76</v>
      </c>
      <c r="Z24" s="451">
        <f>SUM(Z17:Z23)</f>
        <v>143647.76</v>
      </c>
      <c r="AA24" s="451">
        <f>SUM(AA17:AA23)</f>
        <v>162321.9688</v>
      </c>
      <c r="AB24" s="451">
        <f>SUM(AB17:AB23)</f>
        <v>305969.7288</v>
      </c>
      <c r="AC24" s="451">
        <f>SUM(AC17:AC23)</f>
        <v>0</v>
      </c>
      <c r="AD24" s="383"/>
      <c r="AE24" s="383"/>
      <c r="AF24" s="385"/>
    </row>
    <row r="25" ht="57.4" customHeight="1">
      <c r="A25" s="452"/>
      <c r="B25" s="453"/>
      <c r="C25" s="453"/>
      <c r="D25" s="453"/>
      <c r="E25" s="423"/>
      <c r="F25" s="423"/>
      <c r="G25" s="423"/>
      <c r="H25" s="383"/>
      <c r="I25" s="383"/>
      <c r="J25" s="383"/>
      <c r="K25" s="383"/>
      <c r="L25" s="383"/>
      <c r="M25" s="383"/>
      <c r="N25" s="454"/>
      <c r="O25" t="s" s="455">
        <v>358</v>
      </c>
      <c r="P25" t="s" s="456">
        <f>P16</f>
        <v>359</v>
      </c>
      <c r="Q25" t="s" s="457">
        <f>Q16</f>
        <v>360</v>
      </c>
      <c r="R25" t="s" s="457">
        <f>R16</f>
        <v>361</v>
      </c>
      <c r="S25" t="s" s="457">
        <f>S16</f>
        <v>362</v>
      </c>
      <c r="T25" t="s" s="457">
        <f>T16</f>
        <v>363</v>
      </c>
      <c r="U25" t="s" s="457">
        <f>U16</f>
        <v>364</v>
      </c>
      <c r="V25" t="s" s="457">
        <f>V16</f>
        <v>365</v>
      </c>
      <c r="W25" t="s" s="457">
        <f>W16</f>
        <v>366</v>
      </c>
      <c r="X25" t="s" s="457">
        <f>X16</f>
        <v>367</v>
      </c>
      <c r="Y25" t="s" s="457">
        <f>Y16</f>
        <v>368</v>
      </c>
      <c r="Z25" t="s" s="457">
        <f>Z16</f>
        <v>369</v>
      </c>
      <c r="AA25" t="s" s="457">
        <f>AA16</f>
        <v>370</v>
      </c>
      <c r="AB25" t="s" s="457">
        <f>AB16</f>
        <v>371</v>
      </c>
      <c r="AC25" t="s" s="457">
        <f>AC16</f>
        <v>372</v>
      </c>
      <c r="AD25" s="383"/>
      <c r="AE25" s="383"/>
      <c r="AF25" s="385"/>
    </row>
    <row r="26" ht="28.9" customHeight="1">
      <c r="A26" s="452"/>
      <c r="B26" s="453"/>
      <c r="C26" s="453"/>
      <c r="D26" s="453"/>
      <c r="E26" s="427"/>
      <c r="F26" s="427"/>
      <c r="G26" s="427"/>
      <c r="H26" s="427"/>
      <c r="I26" s="383"/>
      <c r="J26" s="383"/>
      <c r="K26" s="383"/>
      <c r="L26" s="383"/>
      <c r="M26" s="383"/>
      <c r="N26" s="458"/>
      <c r="O26" t="s" s="459">
        <v>373</v>
      </c>
      <c r="P26" s="460">
        <f>P8+P24</f>
        <v>11010.9402343475</v>
      </c>
      <c r="Q26" s="460">
        <f>Q8+Q24</f>
        <v>122237.457144054</v>
      </c>
      <c r="R26" s="460">
        <f>R8+R24</f>
        <v>62341.1031434676</v>
      </c>
      <c r="S26" s="460">
        <f>S8+S24</f>
        <v>73352.043377815105</v>
      </c>
      <c r="T26" s="460">
        <f>T8+T24</f>
        <v>110761.585500501</v>
      </c>
      <c r="U26" s="460">
        <f>U8+U24</f>
        <v>184113.628878316</v>
      </c>
      <c r="V26" s="460">
        <f>V8+V24</f>
        <v>18932.0641459916</v>
      </c>
      <c r="W26" s="460">
        <f>W8+W24</f>
        <v>159397.327702899</v>
      </c>
      <c r="X26" s="460">
        <f>X8+X24</f>
        <v>994111.7181031801</v>
      </c>
      <c r="Y26" s="460">
        <f>Y8+Y24</f>
        <v>198822.343620636</v>
      </c>
      <c r="Z26" s="460">
        <f>Z8+Z24</f>
        <v>358219.671323535</v>
      </c>
      <c r="AA26" s="460">
        <f>AA8+AA24</f>
        <v>404788.228595595</v>
      </c>
      <c r="AB26" s="460">
        <f>AB8+AB24</f>
        <v>763007.899919129</v>
      </c>
      <c r="AC26" s="461">
        <f>AC8+AC24</f>
        <v>14186.362165558</v>
      </c>
      <c r="AD26" s="462"/>
      <c r="AE26" s="383"/>
      <c r="AF26" s="385"/>
    </row>
    <row r="27" ht="14.05" customHeight="1">
      <c r="A27" s="463"/>
      <c r="B27" s="464"/>
      <c r="C27" s="464"/>
      <c r="D27" s="464"/>
      <c r="E27" s="464"/>
      <c r="F27" s="464"/>
      <c r="G27" s="464"/>
      <c r="H27" s="464"/>
      <c r="I27" s="383"/>
      <c r="J27" s="383"/>
      <c r="K27" s="383"/>
      <c r="L27" s="383"/>
      <c r="M27" s="383"/>
      <c r="N27" s="383"/>
      <c r="O27" s="465"/>
      <c r="P27" s="465"/>
      <c r="Q27" s="465"/>
      <c r="R27" s="465"/>
      <c r="S27" s="465"/>
      <c r="T27" s="465"/>
      <c r="U27" s="465"/>
      <c r="V27" s="465"/>
      <c r="W27" s="465"/>
      <c r="X27" s="465"/>
      <c r="Y27" s="465"/>
      <c r="Z27" s="465"/>
      <c r="AA27" s="465"/>
      <c r="AB27" s="465"/>
      <c r="AC27" s="465"/>
      <c r="AD27" s="383"/>
      <c r="AE27" s="383"/>
      <c r="AF27" s="385"/>
    </row>
    <row r="28" ht="13.55" customHeight="1">
      <c r="A28" s="466"/>
      <c r="B28" s="467"/>
      <c r="C28" s="468"/>
      <c r="D28" s="469"/>
      <c r="E28" s="447"/>
      <c r="F28" s="447"/>
      <c r="G28" s="468"/>
      <c r="H28" s="45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5"/>
    </row>
    <row r="29" ht="14.5" customHeight="1">
      <c r="A29" s="470"/>
      <c r="B29" s="428"/>
      <c r="C29" s="468"/>
      <c r="D29" s="469"/>
      <c r="E29" s="471"/>
      <c r="F29" s="471"/>
      <c r="G29" s="472"/>
      <c r="H29" s="47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5"/>
    </row>
    <row r="30" ht="14.5" customHeight="1">
      <c r="A30" s="474"/>
      <c r="B30" s="475"/>
      <c r="C30" s="468"/>
      <c r="D30" s="469"/>
      <c r="E30" s="471"/>
      <c r="F30" s="471"/>
      <c r="G30" s="472"/>
      <c r="H30" s="47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5"/>
    </row>
    <row r="31" ht="14.5" customHeight="1">
      <c r="A31" s="474"/>
      <c r="B31" s="475"/>
      <c r="C31" s="468"/>
      <c r="D31" s="469"/>
      <c r="E31" s="471"/>
      <c r="F31" s="471"/>
      <c r="G31" s="472"/>
      <c r="H31" s="47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5"/>
    </row>
    <row r="32" ht="14.5" customHeight="1">
      <c r="A32" s="474"/>
      <c r="B32" s="475"/>
      <c r="C32" s="468"/>
      <c r="D32" s="469"/>
      <c r="E32" s="471"/>
      <c r="F32" s="471"/>
      <c r="G32" s="472"/>
      <c r="H32" s="47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5"/>
    </row>
    <row r="33" ht="48" customHeight="1">
      <c r="A33" s="474"/>
      <c r="B33" s="475"/>
      <c r="C33" s="468"/>
      <c r="D33" s="469"/>
      <c r="E33" s="471"/>
      <c r="F33" s="471"/>
      <c r="G33" s="472"/>
      <c r="H33" s="47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5"/>
    </row>
    <row r="34" ht="14.5" customHeight="1">
      <c r="A34" s="474"/>
      <c r="B34" s="475"/>
      <c r="C34" s="468"/>
      <c r="D34" s="469"/>
      <c r="E34" s="471"/>
      <c r="F34" s="471"/>
      <c r="G34" s="472"/>
      <c r="H34" s="47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5"/>
    </row>
    <row r="35" ht="14.5" customHeight="1">
      <c r="A35" s="474"/>
      <c r="B35" s="475"/>
      <c r="C35" s="468"/>
      <c r="D35" s="469"/>
      <c r="E35" s="471"/>
      <c r="F35" s="471"/>
      <c r="G35" s="472"/>
      <c r="H35" s="47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5"/>
    </row>
    <row r="36" ht="14.5" customHeight="1">
      <c r="A36" s="474"/>
      <c r="B36" s="475"/>
      <c r="C36" s="468"/>
      <c r="D36" s="469"/>
      <c r="E36" s="471"/>
      <c r="F36" s="471"/>
      <c r="G36" s="472"/>
      <c r="H36" s="47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5"/>
    </row>
    <row r="37" ht="14.5" customHeight="1">
      <c r="A37" s="474"/>
      <c r="B37" s="475"/>
      <c r="C37" s="468"/>
      <c r="D37" s="469"/>
      <c r="E37" s="476"/>
      <c r="F37" s="471"/>
      <c r="G37" s="472"/>
      <c r="H37" s="47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5"/>
    </row>
    <row r="38" ht="14.5" customHeight="1">
      <c r="A38" s="474"/>
      <c r="B38" s="475"/>
      <c r="C38" s="468"/>
      <c r="D38" s="469"/>
      <c r="E38" s="476"/>
      <c r="F38" s="471"/>
      <c r="G38" s="472"/>
      <c r="H38" s="47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5"/>
    </row>
    <row r="39" ht="14.5" customHeight="1">
      <c r="A39" s="474"/>
      <c r="B39" s="475"/>
      <c r="C39" s="477"/>
      <c r="D39" s="478"/>
      <c r="E39" s="479"/>
      <c r="F39" s="479"/>
      <c r="G39" s="472"/>
      <c r="H39" s="47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5"/>
    </row>
    <row r="40" ht="14.5" customHeight="1">
      <c r="A40" s="474"/>
      <c r="B40" s="475"/>
      <c r="C40" s="415"/>
      <c r="D40" s="423"/>
      <c r="E40" s="423"/>
      <c r="F40" s="423"/>
      <c r="G40" s="423"/>
      <c r="H40" s="42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5"/>
    </row>
    <row r="41" ht="14.5" customHeight="1">
      <c r="A41" s="474"/>
      <c r="B41" s="475"/>
      <c r="C41" s="400"/>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5"/>
    </row>
    <row r="42" ht="14.5" customHeight="1">
      <c r="A42" s="474"/>
      <c r="B42" s="475"/>
      <c r="C42" s="400"/>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5"/>
    </row>
    <row r="43" ht="14.5" customHeight="1">
      <c r="A43" s="474"/>
      <c r="B43" s="475"/>
      <c r="C43" s="400"/>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5"/>
    </row>
    <row r="44" ht="14.5" customHeight="1">
      <c r="A44" s="474"/>
      <c r="B44" s="475"/>
      <c r="C44" s="400"/>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5"/>
    </row>
    <row r="45" ht="14.5" customHeight="1">
      <c r="A45" s="474"/>
      <c r="B45" s="475"/>
      <c r="C45" s="400"/>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5"/>
    </row>
    <row r="46" ht="14.5" customHeight="1">
      <c r="A46" s="474"/>
      <c r="B46" s="475"/>
      <c r="C46" s="400"/>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5"/>
    </row>
    <row r="47" ht="14.5" customHeight="1">
      <c r="A47" s="474"/>
      <c r="B47" s="475"/>
      <c r="C47" s="400"/>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5"/>
    </row>
    <row r="48" ht="14.5" customHeight="1">
      <c r="A48" s="474"/>
      <c r="B48" s="475"/>
      <c r="C48" s="400"/>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5"/>
    </row>
    <row r="49" ht="14.5" customHeight="1">
      <c r="A49" s="474"/>
      <c r="B49" s="475"/>
      <c r="C49" s="400"/>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5"/>
    </row>
    <row r="50" ht="14.5" customHeight="1">
      <c r="A50" s="474"/>
      <c r="B50" s="475"/>
      <c r="C50" s="400"/>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5"/>
    </row>
    <row r="51" ht="14.5" customHeight="1">
      <c r="A51" s="474"/>
      <c r="B51" s="475"/>
      <c r="C51" s="400"/>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5"/>
    </row>
    <row r="52" ht="14.5" customHeight="1">
      <c r="A52" s="474"/>
      <c r="B52" s="475"/>
      <c r="C52" s="400"/>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5"/>
    </row>
    <row r="53" ht="14.5" customHeight="1">
      <c r="A53" s="474"/>
      <c r="B53" s="475"/>
      <c r="C53" s="400"/>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5"/>
    </row>
    <row r="54" ht="14.5" customHeight="1">
      <c r="A54" s="474"/>
      <c r="B54" s="475"/>
      <c r="C54" s="400"/>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5"/>
    </row>
    <row r="55" ht="14.5" customHeight="1">
      <c r="A55" s="480"/>
      <c r="B55" s="481"/>
      <c r="C55" s="400"/>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5"/>
    </row>
    <row r="56" ht="13.55" customHeight="1">
      <c r="A56" s="466"/>
      <c r="B56" s="423"/>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5"/>
    </row>
    <row r="57" ht="13.55" customHeight="1">
      <c r="A57" s="482"/>
      <c r="B57" s="383"/>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5"/>
    </row>
    <row r="58" ht="13.55" customHeight="1">
      <c r="A58" s="483"/>
      <c r="B58" s="484"/>
      <c r="C58" s="484"/>
      <c r="D58" s="484"/>
      <c r="E58" s="484"/>
      <c r="F58" s="484"/>
      <c r="G58" s="484"/>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5"/>
    </row>
  </sheetData>
  <mergeCells count="61">
    <mergeCell ref="W10:Y10"/>
    <mergeCell ref="W11:Y11"/>
    <mergeCell ref="W12:Y12"/>
    <mergeCell ref="L1:O1"/>
    <mergeCell ref="L16:O16"/>
    <mergeCell ref="P13:Q13"/>
    <mergeCell ref="P11:Q11"/>
    <mergeCell ref="P12:Q12"/>
    <mergeCell ref="A6:D6"/>
    <mergeCell ref="A7:D7"/>
    <mergeCell ref="A8:D8"/>
    <mergeCell ref="A10:D10"/>
    <mergeCell ref="A11:D11"/>
    <mergeCell ref="A12:D12"/>
    <mergeCell ref="A13:D13"/>
    <mergeCell ref="A14:D14"/>
    <mergeCell ref="A17:D17"/>
    <mergeCell ref="A16:D16"/>
    <mergeCell ref="A2:D2"/>
    <mergeCell ref="A3:D3"/>
    <mergeCell ref="A4:D4"/>
    <mergeCell ref="A5:D5"/>
    <mergeCell ref="A1:D1"/>
    <mergeCell ref="A30:B30"/>
    <mergeCell ref="A31:B31"/>
    <mergeCell ref="A32:B32"/>
    <mergeCell ref="A24:D24"/>
    <mergeCell ref="A27:H27"/>
    <mergeCell ref="A26:D26"/>
    <mergeCell ref="A29:B29"/>
    <mergeCell ref="A28:B28"/>
    <mergeCell ref="A20:D20"/>
    <mergeCell ref="A21:D21"/>
    <mergeCell ref="A23:D23"/>
    <mergeCell ref="A15:K15"/>
    <mergeCell ref="A22:D22"/>
    <mergeCell ref="A19:D19"/>
    <mergeCell ref="A18:D18"/>
    <mergeCell ref="A40:B40"/>
    <mergeCell ref="A41:B41"/>
    <mergeCell ref="A42:B42"/>
    <mergeCell ref="A43:B43"/>
    <mergeCell ref="A33:B33"/>
    <mergeCell ref="A34:B34"/>
    <mergeCell ref="A35:B35"/>
    <mergeCell ref="A36:B36"/>
    <mergeCell ref="A37:B37"/>
    <mergeCell ref="A38:B38"/>
    <mergeCell ref="A39:B39"/>
    <mergeCell ref="A53:B53"/>
    <mergeCell ref="A54:B54"/>
    <mergeCell ref="A55:B55"/>
    <mergeCell ref="A44:B44"/>
    <mergeCell ref="A45:B45"/>
    <mergeCell ref="A46:B46"/>
    <mergeCell ref="A47:B47"/>
    <mergeCell ref="A48:B48"/>
    <mergeCell ref="A49:B49"/>
    <mergeCell ref="A50:B50"/>
    <mergeCell ref="A51:B51"/>
    <mergeCell ref="A52:B52"/>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6.xml><?xml version="1.0" encoding="utf-8"?>
<worksheet xmlns:r="http://schemas.openxmlformats.org/officeDocument/2006/relationships" xmlns="http://schemas.openxmlformats.org/spreadsheetml/2006/main">
  <dimension ref="A1:W53"/>
  <sheetViews>
    <sheetView workbookViewId="0" showGridLines="0" defaultGridColor="1"/>
  </sheetViews>
  <sheetFormatPr defaultColWidth="9.16667" defaultRowHeight="14.25" customHeight="1" outlineLevelRow="0" outlineLevelCol="0"/>
  <cols>
    <col min="1" max="1" width="50.1719" style="486" customWidth="1"/>
    <col min="2" max="2" width="11.8516" style="486" customWidth="1"/>
    <col min="3" max="3" width="14.5" style="486" customWidth="1"/>
    <col min="4" max="4" width="3.17188" style="486" customWidth="1"/>
    <col min="5" max="5" width="16.1719" style="486" customWidth="1"/>
    <col min="6" max="6" width="14.8516" style="486" customWidth="1"/>
    <col min="7" max="7" width="13.1719" style="486" customWidth="1"/>
    <col min="8" max="8" width="8.17188" style="486" customWidth="1"/>
    <col min="9" max="9" width="13.1719" style="486" customWidth="1"/>
    <col min="10" max="10" width="12.5" style="486" customWidth="1"/>
    <col min="11" max="11" width="7.85156" style="486" customWidth="1"/>
    <col min="12" max="12" width="3.17188" style="486" customWidth="1"/>
    <col min="13" max="13" width="37.8516" style="486" customWidth="1"/>
    <col min="14" max="14" width="10.8516" style="486" customWidth="1"/>
    <col min="15" max="15" width="9.5" style="486" customWidth="1"/>
    <col min="16" max="16" width="9.17188" style="486" customWidth="1"/>
    <col min="17" max="17" width="9.5" style="486" customWidth="1"/>
    <col min="18" max="23" width="9.17188" style="486" customWidth="1"/>
    <col min="24" max="16384" width="9.17188" style="486" customWidth="1"/>
  </cols>
  <sheetData>
    <row r="1" ht="13.55" customHeight="1">
      <c r="A1" t="s" s="69">
        <v>374</v>
      </c>
      <c r="B1" s="487"/>
      <c r="C1" s="488"/>
      <c r="D1" s="489"/>
      <c r="E1" t="s" s="69">
        <v>375</v>
      </c>
      <c r="F1" t="s" s="41">
        <v>376</v>
      </c>
      <c r="G1" t="s" s="41">
        <v>272</v>
      </c>
      <c r="H1" t="s" s="41">
        <v>273</v>
      </c>
      <c r="I1" t="s" s="41">
        <v>274</v>
      </c>
      <c r="J1" t="s" s="41">
        <v>377</v>
      </c>
      <c r="K1" t="s" s="69">
        <v>378</v>
      </c>
      <c r="L1" s="490"/>
      <c r="M1" t="s" s="69">
        <v>379</v>
      </c>
      <c r="N1" s="447"/>
      <c r="O1" s="491"/>
      <c r="P1" s="374"/>
      <c r="Q1" s="374"/>
      <c r="R1" s="374"/>
      <c r="S1" s="374"/>
      <c r="T1" s="374"/>
      <c r="U1" s="374"/>
      <c r="V1" s="374"/>
      <c r="W1" s="375"/>
    </row>
    <row r="2" ht="13.55" customHeight="1">
      <c r="A2" t="s" s="41">
        <v>380</v>
      </c>
      <c r="B2" s="492">
        <f>'Sisend'!B5</f>
        <v>4000</v>
      </c>
      <c r="C2" s="400"/>
      <c r="D2" s="454"/>
      <c r="E2" t="s" s="41">
        <v>381</v>
      </c>
      <c r="F2" s="493">
        <f>IF(F33&lt;50,0,IF(F33&lt;100,1,IF(F33&lt;300,2,3)))</f>
        <v>0</v>
      </c>
      <c r="G2" s="280"/>
      <c r="H2" s="280"/>
      <c r="I2" s="280"/>
      <c r="J2" s="280"/>
      <c r="K2" s="280"/>
      <c r="L2" s="454"/>
      <c r="M2" t="s" s="41">
        <v>382</v>
      </c>
      <c r="N2" s="419">
        <f>B3*O2</f>
        <v>188.8</v>
      </c>
      <c r="O2" s="494">
        <f>'Parameetrid'!I17</f>
        <v>0.59</v>
      </c>
      <c r="P2" s="400"/>
      <c r="Q2" s="383"/>
      <c r="R2" s="383"/>
      <c r="S2" s="383"/>
      <c r="T2" s="383"/>
      <c r="U2" s="383"/>
      <c r="V2" s="383"/>
      <c r="W2" s="385"/>
    </row>
    <row r="3" ht="13.55" customHeight="1">
      <c r="A3" t="s" s="41">
        <v>383</v>
      </c>
      <c r="B3" s="492">
        <f>'Sisend'!C15*B2</f>
        <v>320</v>
      </c>
      <c r="C3" s="400"/>
      <c r="D3" s="454"/>
      <c r="E3" t="s" s="41">
        <v>384</v>
      </c>
      <c r="F3" s="495">
        <f>IF(G33&lt;100,0,IF(G33&lt;300,1,IF(G33&lt;800,2,3)))</f>
        <v>0</v>
      </c>
      <c r="G3" s="296"/>
      <c r="H3" s="296"/>
      <c r="I3" s="296"/>
      <c r="J3" s="296"/>
      <c r="K3" s="296"/>
      <c r="L3" s="454"/>
      <c r="M3" t="s" s="41">
        <v>385</v>
      </c>
      <c r="N3" s="419">
        <f>B4*O3</f>
        <v>2000.8</v>
      </c>
      <c r="O3" s="494">
        <f>'Parameetrid'!I16</f>
        <v>0.61</v>
      </c>
      <c r="P3" s="496"/>
      <c r="Q3" s="383"/>
      <c r="R3" s="383"/>
      <c r="S3" s="383"/>
      <c r="T3" s="383"/>
      <c r="U3" s="383"/>
      <c r="V3" s="383"/>
      <c r="W3" s="385"/>
    </row>
    <row r="4" ht="13.55" customHeight="1">
      <c r="A4" t="s" s="41">
        <v>386</v>
      </c>
      <c r="B4" s="492">
        <f>'Sisend'!C16*B2</f>
        <v>3280</v>
      </c>
      <c r="C4" s="400"/>
      <c r="D4" s="454"/>
      <c r="E4" t="s" s="41">
        <v>271</v>
      </c>
      <c r="F4" s="497"/>
      <c r="G4" s="498">
        <f>IF(B3*N17&lt;100,0,IF(B3*N17&lt;500,1,2))</f>
        <v>1</v>
      </c>
      <c r="H4" s="296"/>
      <c r="I4" s="296"/>
      <c r="J4" s="296"/>
      <c r="K4" s="296"/>
      <c r="L4" s="454"/>
      <c r="M4" s="447"/>
      <c r="N4" t="s" s="41">
        <v>199</v>
      </c>
      <c r="O4" t="s" s="41">
        <v>292</v>
      </c>
      <c r="P4" t="s" s="41">
        <v>387</v>
      </c>
      <c r="Q4" s="400"/>
      <c r="R4" s="383"/>
      <c r="S4" s="383"/>
      <c r="T4" s="383"/>
      <c r="U4" s="383"/>
      <c r="V4" s="383"/>
      <c r="W4" s="385"/>
    </row>
    <row r="5" ht="13.55" customHeight="1">
      <c r="A5" t="s" s="41">
        <v>388</v>
      </c>
      <c r="B5" s="492">
        <f>'Parameetrid'!B31</f>
        <v>30191</v>
      </c>
      <c r="C5" s="400"/>
      <c r="D5" s="454"/>
      <c r="E5" t="s" s="41">
        <v>389</v>
      </c>
      <c r="F5" s="497"/>
      <c r="G5" s="498">
        <f>IF(B13&lt;500000,0,IF(B13&lt;=2500000,1,2))</f>
        <v>0</v>
      </c>
      <c r="H5" s="296"/>
      <c r="I5" s="296"/>
      <c r="J5" s="296"/>
      <c r="K5" s="296"/>
      <c r="L5" s="454"/>
      <c r="M5" t="s" s="41">
        <v>390</v>
      </c>
      <c r="N5" s="344">
        <f>N2*P5</f>
        <v>96.288</v>
      </c>
      <c r="O5" s="344">
        <f>(N2+N3)*P5</f>
        <v>1116.696</v>
      </c>
      <c r="P5" s="494">
        <v>0.51</v>
      </c>
      <c r="Q5" s="400"/>
      <c r="R5" s="383"/>
      <c r="S5" s="383"/>
      <c r="T5" s="383"/>
      <c r="U5" s="383"/>
      <c r="V5" s="383"/>
      <c r="W5" s="385"/>
    </row>
    <row r="6" ht="13.55" customHeight="1">
      <c r="A6" t="s" s="41">
        <v>90</v>
      </c>
      <c r="B6" s="336">
        <f>'Parameetrid'!B25</f>
        <v>4</v>
      </c>
      <c r="C6" s="499"/>
      <c r="D6" s="454"/>
      <c r="E6" t="s" s="41">
        <v>391</v>
      </c>
      <c r="F6" s="497"/>
      <c r="G6" s="498">
        <f>IF(B12&lt;10000,0,1)</f>
        <v>0</v>
      </c>
      <c r="H6" s="296"/>
      <c r="I6" s="296"/>
      <c r="J6" s="296"/>
      <c r="K6" s="296"/>
      <c r="L6" s="454"/>
      <c r="M6" t="s" s="41">
        <v>392</v>
      </c>
      <c r="N6" s="344">
        <f>N2*P6</f>
        <v>43.424</v>
      </c>
      <c r="O6" s="500"/>
      <c r="P6" s="494">
        <v>0.23</v>
      </c>
      <c r="Q6" t="s" s="286">
        <v>393</v>
      </c>
      <c r="R6" s="383"/>
      <c r="S6" s="383"/>
      <c r="T6" s="383"/>
      <c r="U6" s="383"/>
      <c r="V6" s="383"/>
      <c r="W6" s="385"/>
    </row>
    <row r="7" ht="13.55" customHeight="1">
      <c r="A7" t="s" s="41">
        <v>394</v>
      </c>
      <c r="B7" s="336">
        <f>'Parameetrid'!B26</f>
        <v>6</v>
      </c>
      <c r="C7" t="s" s="41">
        <v>395</v>
      </c>
      <c r="D7" s="501"/>
      <c r="E7" t="s" s="41">
        <v>396</v>
      </c>
      <c r="F7" s="497"/>
      <c r="G7" s="296"/>
      <c r="H7" s="498">
        <f>IF('Parameetrid'!Q57=2,1,0)</f>
        <v>1</v>
      </c>
      <c r="I7" s="296"/>
      <c r="J7" s="296"/>
      <c r="K7" s="296"/>
      <c r="L7" s="454"/>
      <c r="M7" t="s" s="41">
        <v>397</v>
      </c>
      <c r="N7" s="344">
        <f>N2*P7</f>
        <v>35.872</v>
      </c>
      <c r="O7" s="501"/>
      <c r="P7" s="494">
        <v>0.19</v>
      </c>
      <c r="Q7" s="494">
        <f>(P6+(P7*0.5))*P5</f>
        <v>0.16575</v>
      </c>
      <c r="R7" s="400"/>
      <c r="S7" s="383"/>
      <c r="T7" s="383"/>
      <c r="U7" s="383"/>
      <c r="V7" s="383"/>
      <c r="W7" s="385"/>
    </row>
    <row r="8" ht="13.55" customHeight="1">
      <c r="A8" t="s" s="41">
        <v>94</v>
      </c>
      <c r="B8" s="144">
        <f>'Sisend'!C48</f>
        <v>8516.6</v>
      </c>
      <c r="C8" s="502">
        <f>'Sisend'!D35/'Sisend'!D31</f>
        <v>0.0185000441253775</v>
      </c>
      <c r="D8" s="501"/>
      <c r="E8" t="s" s="41">
        <v>398</v>
      </c>
      <c r="F8" s="497"/>
      <c r="G8" s="296"/>
      <c r="H8" s="498">
        <f>IF(B6*'Parameetrid'!T59&gt;=3,1,IF(B6*'Parameetrid'!T59&gt;=6,2,0))</f>
        <v>1</v>
      </c>
      <c r="I8" s="296"/>
      <c r="J8" s="296"/>
      <c r="K8" s="296"/>
      <c r="L8" s="383"/>
      <c r="M8" s="453"/>
      <c r="N8" s="453"/>
      <c r="O8" s="427"/>
      <c r="P8" s="423"/>
      <c r="Q8" s="423"/>
      <c r="R8" s="383"/>
      <c r="S8" s="383"/>
      <c r="T8" s="383"/>
      <c r="U8" s="383"/>
      <c r="V8" s="383"/>
      <c r="W8" s="385"/>
    </row>
    <row r="9" ht="13.55" customHeight="1">
      <c r="A9" t="s" s="41">
        <v>93</v>
      </c>
      <c r="B9" s="144">
        <f>'Sisend'!C47</f>
        <v>1126.4</v>
      </c>
      <c r="C9" s="447"/>
      <c r="D9" s="501"/>
      <c r="E9" t="s" s="41">
        <v>274</v>
      </c>
      <c r="F9" s="497"/>
      <c r="G9" s="296"/>
      <c r="H9" s="296"/>
      <c r="I9" s="498">
        <f>IF(B11&lt;100000,0,IF(B11&lt;500000,1,IF(B11&lt;5000000,2,IF(I29&lt;=25000000,3,4))))</f>
        <v>0</v>
      </c>
      <c r="J9" s="296"/>
      <c r="K9" s="296"/>
      <c r="L9" s="454"/>
      <c r="M9" s="447"/>
      <c r="N9" t="s" s="41">
        <v>292</v>
      </c>
      <c r="O9" t="s" s="41">
        <v>199</v>
      </c>
      <c r="P9" s="400"/>
      <c r="Q9" s="383"/>
      <c r="R9" s="383"/>
      <c r="S9" s="383"/>
      <c r="T9" s="383"/>
      <c r="U9" s="383"/>
      <c r="V9" s="383"/>
      <c r="W9" s="385"/>
    </row>
    <row r="10" ht="14.1" customHeight="1">
      <c r="A10" t="s" s="41">
        <v>262</v>
      </c>
      <c r="B10" s="336">
        <f>'Parameetrid'!B27</f>
        <v>4</v>
      </c>
      <c r="C10" t="s" s="41">
        <v>399</v>
      </c>
      <c r="D10" s="501"/>
      <c r="E10" t="s" s="41">
        <v>377</v>
      </c>
      <c r="F10" s="503"/>
      <c r="G10" s="287"/>
      <c r="H10" s="287"/>
      <c r="I10" s="287"/>
      <c r="J10" s="504">
        <f>IF(J29&lt;500,0,IF(J29&lt;1000,1,IF(J29&lt;3000,2,3)))</f>
        <v>0</v>
      </c>
      <c r="K10" s="287"/>
      <c r="L10" s="454"/>
      <c r="M10" t="s" s="41">
        <v>400</v>
      </c>
      <c r="N10" s="344">
        <f>(N2+N3)</f>
        <v>2189.6</v>
      </c>
      <c r="O10" s="344">
        <f>N2</f>
        <v>188.8</v>
      </c>
      <c r="P10" s="400"/>
      <c r="Q10" s="383"/>
      <c r="R10" s="383"/>
      <c r="S10" s="383"/>
      <c r="T10" s="383"/>
      <c r="U10" s="383"/>
      <c r="V10" s="383"/>
      <c r="W10" s="385"/>
    </row>
    <row r="11" ht="13.55" customHeight="1">
      <c r="A11" t="s" s="41">
        <v>401</v>
      </c>
      <c r="B11" s="492">
        <f>'Sisend'!C49</f>
        <v>76.992</v>
      </c>
      <c r="C11" s="328">
        <f>0.00005*'Parameetrid'!T59</f>
        <v>5e-05</v>
      </c>
      <c r="D11" s="501"/>
      <c r="E11" t="s" s="69">
        <v>402</v>
      </c>
      <c r="F11" s="336">
        <f>SUM(F2:F10)</f>
        <v>0</v>
      </c>
      <c r="G11" s="336">
        <f>SUM(G2:G10)</f>
        <v>1</v>
      </c>
      <c r="H11" s="336">
        <f>SUM(H2:H10)</f>
        <v>2</v>
      </c>
      <c r="I11" s="336">
        <f>SUM(I2:I10)</f>
        <v>0</v>
      </c>
      <c r="J11" s="336">
        <f>SUM(J2:J10)</f>
        <v>0</v>
      </c>
      <c r="K11" s="505">
        <f>SUM(F11:J11)</f>
        <v>3</v>
      </c>
      <c r="L11" s="501"/>
      <c r="M11" t="s" s="41">
        <v>396</v>
      </c>
      <c r="N11" s="330">
        <f>IF('Parameetrid'!Q57=0,1,IF('Parameetrid'!Q57=1,1.5,IF('Parameetrid'!Q57=2,2)))</f>
        <v>2</v>
      </c>
      <c r="O11" s="330">
        <f>IF('Parameetrid'!Q57&lt;=1,1,IF('Parameetrid'!Q57=2,2))</f>
        <v>2</v>
      </c>
      <c r="P11" s="400"/>
      <c r="Q11" s="383"/>
      <c r="R11" s="383"/>
      <c r="S11" s="383"/>
      <c r="T11" s="383"/>
      <c r="U11" s="383"/>
      <c r="V11" s="383"/>
      <c r="W11" s="385"/>
    </row>
    <row r="12" ht="13.55" customHeight="1">
      <c r="A12" t="s" s="41">
        <v>403</v>
      </c>
      <c r="B12" s="492">
        <f>'Sisend'!C50</f>
        <v>8000</v>
      </c>
      <c r="C12" s="328">
        <f>0.001*'Parameetrid'!T59</f>
        <v>0.001</v>
      </c>
      <c r="D12" s="501"/>
      <c r="E12" t="s" s="41">
        <v>404</v>
      </c>
      <c r="F12" s="506">
        <v>6</v>
      </c>
      <c r="G12" s="507">
        <v>5</v>
      </c>
      <c r="H12" s="507">
        <v>3</v>
      </c>
      <c r="I12" s="508">
        <v>4</v>
      </c>
      <c r="J12" s="508">
        <v>3</v>
      </c>
      <c r="K12" s="509">
        <f>SUM(F12:J12)</f>
        <v>21</v>
      </c>
      <c r="L12" s="510"/>
      <c r="M12" s="453"/>
      <c r="N12" s="453"/>
      <c r="O12" s="423"/>
      <c r="P12" s="383"/>
      <c r="Q12" s="383"/>
      <c r="R12" s="383"/>
      <c r="S12" s="383"/>
      <c r="T12" s="383"/>
      <c r="U12" s="383"/>
      <c r="V12" s="383"/>
      <c r="W12" s="385"/>
    </row>
    <row r="13" ht="13.55" customHeight="1">
      <c r="A13" t="s" s="41">
        <v>405</v>
      </c>
      <c r="B13" s="492">
        <f>IF('Sisend'!B7="Osaluspõhine spordisündmus",0,VLOOKUP('Sisend'!C51,'Parameetrid'!P59:Q64,2,FALSE))</f>
        <v>250000</v>
      </c>
      <c r="C13" s="328">
        <f>0.0001*'Parameetrid'!T59</f>
        <v>0.0001</v>
      </c>
      <c r="D13" s="400"/>
      <c r="E13" s="453"/>
      <c r="F13" s="427"/>
      <c r="G13" t="s" s="511">
        <v>10</v>
      </c>
      <c r="H13" s="428"/>
      <c r="I13" s="512"/>
      <c r="J13" s="513"/>
      <c r="K13" s="514"/>
      <c r="L13" s="515"/>
      <c r="M13" t="s" s="41">
        <v>406</v>
      </c>
      <c r="N13" s="516">
        <v>2.38</v>
      </c>
      <c r="O13" s="400"/>
      <c r="P13" s="383"/>
      <c r="Q13" s="383"/>
      <c r="R13" s="383"/>
      <c r="S13" s="383"/>
      <c r="T13" s="383"/>
      <c r="U13" s="383"/>
      <c r="V13" s="383"/>
      <c r="W13" s="385"/>
    </row>
    <row r="14" ht="13.55" customHeight="1">
      <c r="A14" t="s" s="41">
        <v>407</v>
      </c>
      <c r="B14" s="336">
        <f>'Parameetrid'!H31</f>
        <v>1</v>
      </c>
      <c r="C14" s="517"/>
      <c r="D14" s="501"/>
      <c r="E14" t="s" s="69">
        <v>408</v>
      </c>
      <c r="F14" t="s" s="41">
        <v>376</v>
      </c>
      <c r="G14" t="s" s="41">
        <v>272</v>
      </c>
      <c r="H14" t="s" s="41">
        <v>273</v>
      </c>
      <c r="I14" t="s" s="41">
        <v>274</v>
      </c>
      <c r="J14" t="s" s="41">
        <v>377</v>
      </c>
      <c r="K14" t="s" s="69">
        <v>378</v>
      </c>
      <c r="L14" s="501"/>
      <c r="M14" t="s" s="41">
        <v>409</v>
      </c>
      <c r="N14" s="344">
        <f>B9/N13</f>
        <v>473.277310924370</v>
      </c>
      <c r="O14" s="496"/>
      <c r="P14" s="383"/>
      <c r="Q14" s="383"/>
      <c r="R14" s="383"/>
      <c r="S14" s="383"/>
      <c r="T14" s="383"/>
      <c r="U14" s="383"/>
      <c r="V14" s="383"/>
      <c r="W14" s="385"/>
    </row>
    <row r="15" ht="13.55" customHeight="1">
      <c r="A15" t="s" s="41">
        <v>102</v>
      </c>
      <c r="B15" s="336">
        <f>'Parameetrid'!Q57</f>
        <v>2</v>
      </c>
      <c r="C15" s="518"/>
      <c r="D15" s="501"/>
      <c r="E15" t="s" s="41">
        <v>381</v>
      </c>
      <c r="F15" s="493">
        <f>IF(F32*'KOV-id'!F6&lt;50,0,IF(F32*'KOV-id'!F6&lt;100,1,IF(F32*'KOV-id'!F6&lt;300,2,3)))</f>
        <v>3</v>
      </c>
      <c r="G15" s="280"/>
      <c r="H15" s="280"/>
      <c r="I15" s="280"/>
      <c r="J15" s="280"/>
      <c r="K15" s="280"/>
      <c r="L15" s="454"/>
      <c r="M15" t="s" s="41">
        <v>410</v>
      </c>
      <c r="N15" s="344">
        <f>B8/N13</f>
        <v>3578.403361344540</v>
      </c>
      <c r="O15" s="519"/>
      <c r="P15" s="400"/>
      <c r="Q15" s="383"/>
      <c r="R15" s="383"/>
      <c r="S15" s="383"/>
      <c r="T15" s="383"/>
      <c r="U15" s="383"/>
      <c r="V15" s="383"/>
      <c r="W15" s="385"/>
    </row>
    <row r="16" ht="13.55" customHeight="1">
      <c r="A16" t="s" s="41">
        <v>30</v>
      </c>
      <c r="B16" s="336">
        <f>'Parameetrid'!U24</f>
        <v>1</v>
      </c>
      <c r="C16" s="518"/>
      <c r="D16" s="501"/>
      <c r="E16" t="s" s="41">
        <v>384</v>
      </c>
      <c r="F16" s="495">
        <f>IF(G32*'KOV-id'!F6&lt;100,0,IF(G32*'KOV-id'!F6&lt;300,1,IF(G32*'KOV-id'!F6&lt;900,2,3)))</f>
        <v>3</v>
      </c>
      <c r="G16" s="296"/>
      <c r="H16" s="296"/>
      <c r="I16" s="296"/>
      <c r="J16" s="296"/>
      <c r="K16" s="296"/>
      <c r="L16" s="383"/>
      <c r="M16" s="453"/>
      <c r="N16" s="469"/>
      <c r="O16" s="519"/>
      <c r="P16" s="400"/>
      <c r="Q16" s="383"/>
      <c r="R16" s="383"/>
      <c r="S16" s="383"/>
      <c r="T16" s="383"/>
      <c r="U16" s="383"/>
      <c r="V16" s="383"/>
      <c r="W16" s="385"/>
    </row>
    <row r="17" ht="13.55" customHeight="1">
      <c r="A17" s="452"/>
      <c r="B17" s="453"/>
      <c r="C17" s="423"/>
      <c r="D17" s="454"/>
      <c r="E17" t="s" s="41">
        <v>271</v>
      </c>
      <c r="F17" s="497"/>
      <c r="G17" s="498">
        <f>IF((B3+B4)*N17*'KOV-id'!F6&lt;200,0,IF((B3+B4)*N17*'KOV-id'!F6&lt;600,1,2))</f>
        <v>2</v>
      </c>
      <c r="H17" s="296"/>
      <c r="I17" s="296"/>
      <c r="J17" s="296"/>
      <c r="K17" s="296"/>
      <c r="L17" s="454"/>
      <c r="M17" t="s" s="41">
        <v>411</v>
      </c>
      <c r="N17" s="494">
        <v>0.67</v>
      </c>
      <c r="O17" s="415"/>
      <c r="P17" s="383"/>
      <c r="Q17" s="383"/>
      <c r="R17" s="383"/>
      <c r="S17" s="383"/>
      <c r="T17" s="383"/>
      <c r="U17" s="383"/>
      <c r="V17" s="383"/>
      <c r="W17" s="385"/>
    </row>
    <row r="18" ht="13.55" customHeight="1">
      <c r="A18" t="s" s="69">
        <v>412</v>
      </c>
      <c r="B18" s="487"/>
      <c r="C18" s="400"/>
      <c r="D18" s="454"/>
      <c r="E18" t="s" s="41">
        <v>389</v>
      </c>
      <c r="F18" s="497"/>
      <c r="G18" s="498">
        <f>IF(B13*'KOV-id'!F6&lt;500000,0,IF(B13*'KOV-id'!F6&lt;=2500000,1,2))</f>
        <v>1</v>
      </c>
      <c r="H18" s="296"/>
      <c r="I18" s="296"/>
      <c r="J18" s="296"/>
      <c r="K18" s="296"/>
      <c r="L18" s="383"/>
      <c r="M18" s="423"/>
      <c r="N18" s="423"/>
      <c r="O18" s="383"/>
      <c r="P18" s="383"/>
      <c r="Q18" s="383"/>
      <c r="R18" s="383"/>
      <c r="S18" s="383"/>
      <c r="T18" s="383"/>
      <c r="U18" s="383"/>
      <c r="V18" s="383"/>
      <c r="W18" s="385"/>
    </row>
    <row r="19" ht="13.55" customHeight="1">
      <c r="A19" t="s" s="41">
        <v>179</v>
      </c>
      <c r="B19" s="520">
        <f>IF(K11&lt;3,0,IF(K11&lt;6,1,IF(K11&lt;9,2,IF(K11&lt;12,3,IF(K11&lt;16,4,5)))))</f>
        <v>1</v>
      </c>
      <c r="C19" s="400"/>
      <c r="D19" s="454"/>
      <c r="E19" t="s" s="41">
        <v>391</v>
      </c>
      <c r="F19" s="497"/>
      <c r="G19" s="498">
        <f>IF(B12*'KOV-id'!F6&lt;10000,0,1)</f>
        <v>1</v>
      </c>
      <c r="H19" s="296"/>
      <c r="I19" s="296"/>
      <c r="J19" s="296"/>
      <c r="K19" s="296"/>
      <c r="L19" s="383"/>
      <c r="M19" s="383"/>
      <c r="N19" s="383"/>
      <c r="O19" s="383"/>
      <c r="P19" s="383"/>
      <c r="Q19" s="383"/>
      <c r="R19" s="383"/>
      <c r="S19" s="383"/>
      <c r="T19" s="383"/>
      <c r="U19" s="383"/>
      <c r="V19" s="383"/>
      <c r="W19" s="385"/>
    </row>
    <row r="20" ht="13.55" customHeight="1">
      <c r="A20" t="s" s="41">
        <v>181</v>
      </c>
      <c r="B20" s="520">
        <f>IF(K24&lt;3,0,IF(K24&lt;6,1,IF(K24&lt;9,2,IF(K24&lt;12,3,IF(K24&lt;16,4,5)))))</f>
        <v>5</v>
      </c>
      <c r="C20" s="400"/>
      <c r="D20" s="454"/>
      <c r="E20" t="s" s="41">
        <v>396</v>
      </c>
      <c r="F20" s="497"/>
      <c r="G20" s="296"/>
      <c r="H20" s="498">
        <f>'Parameetrid'!Q57</f>
        <v>2</v>
      </c>
      <c r="I20" s="296"/>
      <c r="J20" s="296"/>
      <c r="K20" s="296"/>
      <c r="L20" s="383"/>
      <c r="M20" s="383"/>
      <c r="N20" s="383"/>
      <c r="O20" s="383"/>
      <c r="P20" s="383"/>
      <c r="Q20" s="383"/>
      <c r="R20" s="383"/>
      <c r="S20" s="383"/>
      <c r="T20" s="383"/>
      <c r="U20" s="383"/>
      <c r="V20" s="383"/>
      <c r="W20" s="385"/>
    </row>
    <row r="21" ht="13.55" customHeight="1">
      <c r="A21" t="s" s="41">
        <v>182</v>
      </c>
      <c r="B21" s="520">
        <f>IF(H33&lt;100,0,IF(H33&lt;300,1,IF(H33&lt;800,2,IF(H33&lt;1500,3,IF(H33&lt;3000,4,IF(H33&gt;=3000,5))))))</f>
        <v>1</v>
      </c>
      <c r="C21" s="400"/>
      <c r="D21" s="454"/>
      <c r="E21" t="s" s="41">
        <v>398</v>
      </c>
      <c r="F21" s="497"/>
      <c r="G21" s="296"/>
      <c r="H21" s="498">
        <f>IF(B6*'Parameetrid'!T59&gt;=2,1,IF(B6*'Parameetrid'!T59&gt;=5,2,0))</f>
        <v>1</v>
      </c>
      <c r="I21" s="296"/>
      <c r="J21" s="296"/>
      <c r="K21" s="296"/>
      <c r="L21" s="383"/>
      <c r="M21" s="383"/>
      <c r="N21" s="383"/>
      <c r="O21" s="383"/>
      <c r="P21" s="383"/>
      <c r="Q21" s="383"/>
      <c r="R21" s="383"/>
      <c r="S21" s="383"/>
      <c r="T21" s="383"/>
      <c r="U21" s="383"/>
      <c r="V21" s="383"/>
      <c r="W21" s="385"/>
    </row>
    <row r="22" ht="13.55" customHeight="1">
      <c r="A22" t="s" s="41">
        <v>183</v>
      </c>
      <c r="B22" s="520">
        <f>IF(H32*'KOV-id'!F6&lt;100,0,IF(H32*'KOV-id'!F6&lt;300,1,IF(H32*'KOV-id'!F6&lt;800,2,IF(H32*'KOV-id'!F6&lt;1500,3,IF(H32*'KOV-id'!F6&lt;3000,4,IF(H32*'KOV-id'!F6&gt;=3000,5))))))</f>
        <v>5</v>
      </c>
      <c r="C22" s="400"/>
      <c r="D22" s="454"/>
      <c r="E22" t="s" s="41">
        <v>274</v>
      </c>
      <c r="F22" s="497"/>
      <c r="G22" s="296"/>
      <c r="H22" s="296"/>
      <c r="I22" s="498">
        <f>IF(B11*'KOV-id'!F6&lt;100000,0,IF(B11*'KOV-id'!F6&lt;500000,1,IF(B11*'KOV-id'!F6&lt;5000000,2,IF(B11*'KOV-id'!F6&lt;25000000,3,4))))</f>
        <v>0</v>
      </c>
      <c r="J22" s="296"/>
      <c r="K22" s="296"/>
      <c r="L22" s="383"/>
      <c r="M22" s="383"/>
      <c r="N22" s="383"/>
      <c r="O22" s="383"/>
      <c r="P22" s="383"/>
      <c r="Q22" s="383"/>
      <c r="R22" s="383"/>
      <c r="S22" s="383"/>
      <c r="T22" s="383"/>
      <c r="U22" s="383"/>
      <c r="V22" s="383"/>
      <c r="W22" s="385"/>
    </row>
    <row r="23" ht="13.55" customHeight="1">
      <c r="A23" s="466"/>
      <c r="B23" s="423"/>
      <c r="C23" s="383"/>
      <c r="D23" s="454"/>
      <c r="E23" t="s" s="41">
        <v>377</v>
      </c>
      <c r="F23" s="503"/>
      <c r="G23" s="287"/>
      <c r="H23" s="287"/>
      <c r="I23" s="287"/>
      <c r="J23" s="504">
        <f>IF(J28&lt;500,0,IF(J28&lt;1000,1,IF(J28&lt;3000,2,3)))</f>
        <v>3</v>
      </c>
      <c r="K23" s="287"/>
      <c r="L23" s="383"/>
      <c r="M23" s="383"/>
      <c r="N23" s="383"/>
      <c r="O23" s="383"/>
      <c r="P23" s="383"/>
      <c r="Q23" s="383"/>
      <c r="R23" s="383"/>
      <c r="S23" s="383"/>
      <c r="T23" s="383"/>
      <c r="U23" s="383"/>
      <c r="V23" s="383"/>
      <c r="W23" s="385"/>
    </row>
    <row r="24" ht="13.55" customHeight="1">
      <c r="A24" s="482"/>
      <c r="B24" s="383"/>
      <c r="C24" s="383"/>
      <c r="D24" s="454"/>
      <c r="E24" t="s" s="69">
        <v>402</v>
      </c>
      <c r="F24" s="336">
        <f>SUM(F15:F23)</f>
        <v>6</v>
      </c>
      <c r="G24" s="336">
        <f>SUM(G15:G23)</f>
        <v>4</v>
      </c>
      <c r="H24" s="336">
        <f>SUM(H15:H23)</f>
        <v>3</v>
      </c>
      <c r="I24" s="336">
        <f>SUM(I15:I23)</f>
        <v>0</v>
      </c>
      <c r="J24" s="336">
        <f>SUM(J15:J23)</f>
        <v>3</v>
      </c>
      <c r="K24" s="505">
        <f>SUM(F24:J24)</f>
        <v>16</v>
      </c>
      <c r="L24" s="400"/>
      <c r="M24" s="383"/>
      <c r="N24" s="383"/>
      <c r="O24" s="383"/>
      <c r="P24" s="383"/>
      <c r="Q24" s="383"/>
      <c r="R24" s="383"/>
      <c r="S24" s="383"/>
      <c r="T24" s="383"/>
      <c r="U24" s="383"/>
      <c r="V24" s="383"/>
      <c r="W24" s="385"/>
    </row>
    <row r="25" ht="13.55" customHeight="1">
      <c r="A25" s="482"/>
      <c r="B25" s="383"/>
      <c r="C25" s="383"/>
      <c r="D25" s="454"/>
      <c r="E25" t="s" s="41">
        <v>404</v>
      </c>
      <c r="F25" s="506">
        <v>6</v>
      </c>
      <c r="G25" s="507">
        <v>5</v>
      </c>
      <c r="H25" s="507">
        <v>4</v>
      </c>
      <c r="I25" s="507">
        <v>4</v>
      </c>
      <c r="J25" s="507">
        <v>3</v>
      </c>
      <c r="K25" s="509">
        <f>SUM(F25:J25)</f>
        <v>22</v>
      </c>
      <c r="L25" s="400"/>
      <c r="M25" s="383"/>
      <c r="N25" s="383"/>
      <c r="O25" s="383"/>
      <c r="P25" s="383"/>
      <c r="Q25" s="383"/>
      <c r="R25" s="383"/>
      <c r="S25" s="383"/>
      <c r="T25" s="383"/>
      <c r="U25" s="383"/>
      <c r="V25" s="383"/>
      <c r="W25" s="385"/>
    </row>
    <row r="26" ht="13.55" customHeight="1">
      <c r="A26" s="482"/>
      <c r="B26" s="383"/>
      <c r="C26" s="383"/>
      <c r="D26" s="383"/>
      <c r="E26" s="453"/>
      <c r="F26" s="427"/>
      <c r="G26" s="427"/>
      <c r="H26" s="427"/>
      <c r="I26" s="427"/>
      <c r="J26" s="427"/>
      <c r="K26" s="423"/>
      <c r="L26" s="383"/>
      <c r="M26" s="383"/>
      <c r="N26" s="383"/>
      <c r="O26" s="383"/>
      <c r="P26" s="383"/>
      <c r="Q26" s="383"/>
      <c r="R26" s="383"/>
      <c r="S26" s="383"/>
      <c r="T26" s="383"/>
      <c r="U26" s="383"/>
      <c r="V26" s="383"/>
      <c r="W26" s="385"/>
    </row>
    <row r="27" ht="13.55" customHeight="1">
      <c r="A27" s="482"/>
      <c r="B27" s="383"/>
      <c r="C27" s="383"/>
      <c r="D27" s="454"/>
      <c r="E27" t="s" s="69">
        <v>413</v>
      </c>
      <c r="F27" t="s" s="41">
        <v>400</v>
      </c>
      <c r="G27" t="s" s="41">
        <v>272</v>
      </c>
      <c r="H27" t="s" s="41">
        <v>273</v>
      </c>
      <c r="I27" t="s" s="41">
        <v>274</v>
      </c>
      <c r="J27" t="s" s="41">
        <v>377</v>
      </c>
      <c r="K27" s="521"/>
      <c r="L27" s="383"/>
      <c r="M27" s="383"/>
      <c r="N27" s="383"/>
      <c r="O27" s="383"/>
      <c r="P27" s="383"/>
      <c r="Q27" s="383"/>
      <c r="R27" s="383"/>
      <c r="S27" s="383"/>
      <c r="T27" s="383"/>
      <c r="U27" s="383"/>
      <c r="V27" s="383"/>
      <c r="W27" s="385"/>
    </row>
    <row r="28" ht="13.55" customHeight="1">
      <c r="A28" s="482"/>
      <c r="B28" s="383"/>
      <c r="C28" s="383"/>
      <c r="D28" s="454"/>
      <c r="E28" t="s" s="41">
        <v>292</v>
      </c>
      <c r="F28" s="344">
        <f>(F32+G32)</f>
        <v>1032.614544</v>
      </c>
      <c r="G28" s="522">
        <f>(B12+B13+(B4+B3)*N17*100)</f>
        <v>499200</v>
      </c>
      <c r="H28" s="330">
        <f>B15+1</f>
        <v>3</v>
      </c>
      <c r="I28" s="522">
        <f>B11*'Parameetrid'!T59</f>
        <v>76.992</v>
      </c>
      <c r="J28" s="344">
        <f>(N15+N14)</f>
        <v>4051.680672268910</v>
      </c>
      <c r="K28" s="513"/>
      <c r="L28" s="400"/>
      <c r="M28" s="383"/>
      <c r="N28" s="383"/>
      <c r="O28" s="383"/>
      <c r="P28" s="383"/>
      <c r="Q28" s="383"/>
      <c r="R28" s="383"/>
      <c r="S28" s="383"/>
      <c r="T28" s="383"/>
      <c r="U28" s="383"/>
      <c r="V28" s="383"/>
      <c r="W28" s="385"/>
    </row>
    <row r="29" ht="13.55" customHeight="1">
      <c r="A29" s="482"/>
      <c r="B29" s="383"/>
      <c r="C29" s="383"/>
      <c r="D29" s="454"/>
      <c r="E29" t="s" s="41">
        <v>199</v>
      </c>
      <c r="F29" s="344">
        <f>F33+G33</f>
        <v>102.955944</v>
      </c>
      <c r="G29" s="523">
        <f>(B12+B13+B3*N17*100)</f>
        <v>279440</v>
      </c>
      <c r="H29" s="330">
        <f>B15</f>
        <v>2</v>
      </c>
      <c r="I29" s="522">
        <f>B11*'Parameetrid'!T59</f>
        <v>76.992</v>
      </c>
      <c r="J29" s="344">
        <f>N14</f>
        <v>473.277310924370</v>
      </c>
      <c r="K29" s="524"/>
      <c r="L29" s="400"/>
      <c r="M29" s="383"/>
      <c r="N29" s="383"/>
      <c r="O29" s="383"/>
      <c r="P29" s="383"/>
      <c r="Q29" s="383"/>
      <c r="R29" s="383"/>
      <c r="S29" s="383"/>
      <c r="T29" s="383"/>
      <c r="U29" s="383"/>
      <c r="V29" s="383"/>
      <c r="W29" s="385"/>
    </row>
    <row r="30" ht="13.55" customHeight="1">
      <c r="A30" s="482"/>
      <c r="B30" s="383"/>
      <c r="C30" s="383"/>
      <c r="D30" s="383"/>
      <c r="E30" s="453"/>
      <c r="F30" s="453"/>
      <c r="G30" s="453"/>
      <c r="H30" s="453"/>
      <c r="I30" s="453"/>
      <c r="J30" s="453"/>
      <c r="K30" s="423"/>
      <c r="L30" s="383"/>
      <c r="M30" s="383"/>
      <c r="N30" s="383"/>
      <c r="O30" s="383"/>
      <c r="P30" s="383"/>
      <c r="Q30" s="383"/>
      <c r="R30" s="383"/>
      <c r="S30" s="383"/>
      <c r="T30" s="383"/>
      <c r="U30" s="383"/>
      <c r="V30" s="383"/>
      <c r="W30" s="385"/>
    </row>
    <row r="31" ht="13.55" customHeight="1">
      <c r="A31" s="482"/>
      <c r="B31" s="383"/>
      <c r="C31" s="383"/>
      <c r="D31" s="454"/>
      <c r="E31" t="s" s="69">
        <v>414</v>
      </c>
      <c r="F31" t="s" s="41">
        <v>415</v>
      </c>
      <c r="G31" t="s" s="41">
        <v>416</v>
      </c>
      <c r="H31" t="s" s="69">
        <v>402</v>
      </c>
      <c r="I31" t="s" s="69">
        <v>417</v>
      </c>
      <c r="J31" t="s" s="525">
        <v>418</v>
      </c>
      <c r="K31" s="400"/>
      <c r="L31" s="383"/>
      <c r="M31" s="383"/>
      <c r="N31" s="383"/>
      <c r="O31" s="383"/>
      <c r="P31" s="383"/>
      <c r="Q31" s="383"/>
      <c r="R31" s="383"/>
      <c r="S31" s="383"/>
      <c r="T31" s="383"/>
      <c r="U31" s="383"/>
      <c r="V31" s="383"/>
      <c r="W31" s="385"/>
    </row>
    <row r="32" ht="13.55" customHeight="1">
      <c r="A32" s="482"/>
      <c r="B32" s="383"/>
      <c r="C32" s="383"/>
      <c r="D32" s="454"/>
      <c r="E32" t="s" s="41">
        <v>292</v>
      </c>
      <c r="F32" s="419">
        <f>Q7*B4+F33</f>
        <v>574.9536000000001</v>
      </c>
      <c r="G32" s="419">
        <f>Q7*B4*0.71+G33</f>
        <v>457.660944</v>
      </c>
      <c r="H32" s="334">
        <f>((SUM(F32:G32)+B11*C11+B12*C12+B13*C13)*(1+C8))</f>
        <v>1085.332380902410</v>
      </c>
      <c r="I32" s="282">
        <f>(H32-H33)*'Parameetrid'!I12*(1+'Sisend'!H15)+(H33*'Parameetrid'!J12*(1+'Sisend'!H16))</f>
        <v>473968.223787183</v>
      </c>
      <c r="J32" s="513"/>
      <c r="K32" s="400"/>
      <c r="L32" s="383"/>
      <c r="M32" s="383"/>
      <c r="N32" s="383"/>
      <c r="O32" s="383"/>
      <c r="P32" s="383"/>
      <c r="Q32" s="383"/>
      <c r="R32" s="383"/>
      <c r="S32" s="383"/>
      <c r="T32" s="383"/>
      <c r="U32" s="383"/>
      <c r="V32" s="383"/>
      <c r="W32" s="385"/>
    </row>
    <row r="33" ht="13.55" customHeight="1">
      <c r="A33" s="482"/>
      <c r="B33" s="383"/>
      <c r="C33" s="383"/>
      <c r="D33" s="454"/>
      <c r="E33" t="s" s="41">
        <v>199</v>
      </c>
      <c r="F33" s="419">
        <f>(N6+N7*0.5)*P5</f>
        <v>31.2936</v>
      </c>
      <c r="G33" s="419">
        <f>F33*2.29</f>
        <v>71.662344</v>
      </c>
      <c r="H33" s="334">
        <f>((SUM(F33:G33)+B11*C11+B12*C12+B13*C13)*(1+C8))</f>
        <v>138.475055780877</v>
      </c>
      <c r="I33" s="282">
        <f>H33*('Parameetrid'!I12*(1+'Sisend'!G15))</f>
        <v>62327.6226069727</v>
      </c>
      <c r="J33" s="282">
        <f>H33*('Parameetrid'!I13*(1+'Sisend'!G15))</f>
        <v>11391.5119887581</v>
      </c>
      <c r="K33" s="400"/>
      <c r="L33" s="383"/>
      <c r="M33" s="383"/>
      <c r="N33" s="383"/>
      <c r="O33" s="383"/>
      <c r="P33" s="383"/>
      <c r="Q33" s="383"/>
      <c r="R33" s="383"/>
      <c r="S33" s="383"/>
      <c r="T33" s="383"/>
      <c r="U33" s="383"/>
      <c r="V33" s="383"/>
      <c r="W33" s="385"/>
    </row>
    <row r="34" ht="13.55" customHeight="1">
      <c r="A34" s="482"/>
      <c r="B34" s="383"/>
      <c r="C34" s="383"/>
      <c r="D34" s="383"/>
      <c r="E34" s="423"/>
      <c r="F34" s="423"/>
      <c r="G34" s="423"/>
      <c r="H34" s="423"/>
      <c r="I34" s="423"/>
      <c r="J34" s="423"/>
      <c r="K34" s="383"/>
      <c r="L34" s="383"/>
      <c r="M34" s="383"/>
      <c r="N34" s="383"/>
      <c r="O34" s="383"/>
      <c r="P34" s="383"/>
      <c r="Q34" s="383"/>
      <c r="R34" s="383"/>
      <c r="S34" s="383"/>
      <c r="T34" s="383"/>
      <c r="U34" s="383"/>
      <c r="V34" s="383"/>
      <c r="W34" s="385"/>
    </row>
    <row r="35" ht="13.55" customHeight="1">
      <c r="A35" s="482"/>
      <c r="B35" s="383"/>
      <c r="C35" s="383"/>
      <c r="D35" s="383"/>
      <c r="E35" s="383"/>
      <c r="F35" s="383"/>
      <c r="G35" s="383"/>
      <c r="H35" s="383"/>
      <c r="I35" s="383"/>
      <c r="J35" s="383"/>
      <c r="K35" s="383"/>
      <c r="L35" s="383"/>
      <c r="M35" s="383"/>
      <c r="N35" s="383"/>
      <c r="O35" s="383"/>
      <c r="P35" s="383"/>
      <c r="Q35" s="383"/>
      <c r="R35" s="383"/>
      <c r="S35" s="383"/>
      <c r="T35" s="383"/>
      <c r="U35" s="383"/>
      <c r="V35" s="383"/>
      <c r="W35" s="385"/>
    </row>
    <row r="36" ht="13.55" customHeight="1">
      <c r="A36" s="482"/>
      <c r="B36" s="383"/>
      <c r="C36" s="383"/>
      <c r="D36" s="383"/>
      <c r="E36" s="383"/>
      <c r="F36" s="383"/>
      <c r="G36" s="383"/>
      <c r="H36" s="383"/>
      <c r="I36" s="383"/>
      <c r="J36" s="383"/>
      <c r="K36" s="383"/>
      <c r="L36" s="383"/>
      <c r="M36" s="383"/>
      <c r="N36" s="383"/>
      <c r="O36" s="383"/>
      <c r="P36" s="383"/>
      <c r="Q36" s="383"/>
      <c r="R36" s="383"/>
      <c r="S36" s="383"/>
      <c r="T36" s="383"/>
      <c r="U36" s="383"/>
      <c r="V36" s="383"/>
      <c r="W36" s="385"/>
    </row>
    <row r="37" ht="13.55" customHeight="1">
      <c r="A37" s="482"/>
      <c r="B37" s="383"/>
      <c r="C37" s="383"/>
      <c r="D37" s="383"/>
      <c r="E37" s="383"/>
      <c r="F37" s="383"/>
      <c r="G37" s="383"/>
      <c r="H37" s="383"/>
      <c r="I37" s="383"/>
      <c r="J37" s="383"/>
      <c r="K37" s="383"/>
      <c r="L37" s="383"/>
      <c r="M37" s="383"/>
      <c r="N37" s="383"/>
      <c r="O37" s="383"/>
      <c r="P37" s="383"/>
      <c r="Q37" s="383"/>
      <c r="R37" s="383"/>
      <c r="S37" s="383"/>
      <c r="T37" s="383"/>
      <c r="U37" s="383"/>
      <c r="V37" s="383"/>
      <c r="W37" s="385"/>
    </row>
    <row r="38" ht="13.55" customHeight="1">
      <c r="A38" s="482"/>
      <c r="B38" s="383"/>
      <c r="C38" s="383"/>
      <c r="D38" s="383"/>
      <c r="E38" s="383"/>
      <c r="F38" s="383"/>
      <c r="G38" s="383"/>
      <c r="H38" s="383"/>
      <c r="I38" s="383"/>
      <c r="J38" s="383"/>
      <c r="K38" s="383"/>
      <c r="L38" s="383"/>
      <c r="M38" s="383"/>
      <c r="N38" s="383"/>
      <c r="O38" s="383"/>
      <c r="P38" s="383"/>
      <c r="Q38" s="383"/>
      <c r="R38" s="383"/>
      <c r="S38" s="383"/>
      <c r="T38" s="383"/>
      <c r="U38" s="383"/>
      <c r="V38" s="383"/>
      <c r="W38" s="385"/>
    </row>
    <row r="39" ht="13.55" customHeight="1">
      <c r="A39" s="482"/>
      <c r="B39" s="383"/>
      <c r="C39" s="383"/>
      <c r="D39" s="383"/>
      <c r="E39" s="383"/>
      <c r="F39" s="383"/>
      <c r="G39" s="383"/>
      <c r="H39" s="383"/>
      <c r="I39" s="383"/>
      <c r="J39" s="383"/>
      <c r="K39" s="383"/>
      <c r="L39" s="383"/>
      <c r="M39" s="383"/>
      <c r="N39" s="383"/>
      <c r="O39" s="383"/>
      <c r="P39" s="383"/>
      <c r="Q39" s="383"/>
      <c r="R39" s="383"/>
      <c r="S39" s="383"/>
      <c r="T39" s="383"/>
      <c r="U39" s="383"/>
      <c r="V39" s="383"/>
      <c r="W39" s="385"/>
    </row>
    <row r="40" ht="13.55" customHeight="1">
      <c r="A40" s="482"/>
      <c r="B40" s="383"/>
      <c r="C40" s="383"/>
      <c r="D40" s="383"/>
      <c r="E40" s="383"/>
      <c r="F40" s="383"/>
      <c r="G40" s="383"/>
      <c r="H40" s="383"/>
      <c r="I40" s="383"/>
      <c r="J40" s="383"/>
      <c r="K40" s="383"/>
      <c r="L40" s="383"/>
      <c r="M40" s="383"/>
      <c r="N40" s="383"/>
      <c r="O40" s="383"/>
      <c r="P40" s="383"/>
      <c r="Q40" s="383"/>
      <c r="R40" s="383"/>
      <c r="S40" s="383"/>
      <c r="T40" s="383"/>
      <c r="U40" s="383"/>
      <c r="V40" s="383"/>
      <c r="W40" s="385"/>
    </row>
    <row r="41" ht="13.55" customHeight="1">
      <c r="A41" s="482"/>
      <c r="B41" s="383"/>
      <c r="C41" s="383"/>
      <c r="D41" s="383"/>
      <c r="E41" s="383"/>
      <c r="F41" s="383"/>
      <c r="G41" s="383"/>
      <c r="H41" s="383"/>
      <c r="I41" s="383"/>
      <c r="J41" s="383"/>
      <c r="K41" s="383"/>
      <c r="L41" s="383"/>
      <c r="M41" s="383"/>
      <c r="N41" s="383"/>
      <c r="O41" s="383"/>
      <c r="P41" s="383"/>
      <c r="Q41" s="383"/>
      <c r="R41" s="383"/>
      <c r="S41" s="383"/>
      <c r="T41" s="383"/>
      <c r="U41" s="383"/>
      <c r="V41" s="383"/>
      <c r="W41" s="385"/>
    </row>
    <row r="42" ht="13.55" customHeight="1">
      <c r="A42" s="482"/>
      <c r="B42" s="383"/>
      <c r="C42" s="383"/>
      <c r="D42" s="383"/>
      <c r="E42" s="383"/>
      <c r="F42" s="383"/>
      <c r="G42" s="383"/>
      <c r="H42" s="383"/>
      <c r="I42" s="383"/>
      <c r="J42" s="383"/>
      <c r="K42" s="383"/>
      <c r="L42" s="383"/>
      <c r="M42" s="383"/>
      <c r="N42" s="383"/>
      <c r="O42" s="383"/>
      <c r="P42" s="383"/>
      <c r="Q42" s="383"/>
      <c r="R42" s="383"/>
      <c r="S42" s="383"/>
      <c r="T42" s="383"/>
      <c r="U42" s="383"/>
      <c r="V42" s="383"/>
      <c r="W42" s="385"/>
    </row>
    <row r="43" ht="13.55" customHeight="1">
      <c r="A43" s="482"/>
      <c r="B43" s="383"/>
      <c r="C43" s="383"/>
      <c r="D43" s="383"/>
      <c r="E43" s="383"/>
      <c r="F43" s="383"/>
      <c r="G43" s="383"/>
      <c r="H43" s="383"/>
      <c r="I43" s="383"/>
      <c r="J43" s="383"/>
      <c r="K43" s="383"/>
      <c r="L43" s="383"/>
      <c r="M43" s="383"/>
      <c r="N43" s="383"/>
      <c r="O43" s="383"/>
      <c r="P43" s="383"/>
      <c r="Q43" s="383"/>
      <c r="R43" s="383"/>
      <c r="S43" s="383"/>
      <c r="T43" s="383"/>
      <c r="U43" s="383"/>
      <c r="V43" s="383"/>
      <c r="W43" s="385"/>
    </row>
    <row r="44" ht="13.55" customHeight="1">
      <c r="A44" s="482"/>
      <c r="B44" s="383"/>
      <c r="C44" s="383"/>
      <c r="D44" s="383"/>
      <c r="E44" s="383"/>
      <c r="F44" s="383"/>
      <c r="G44" s="383"/>
      <c r="H44" s="383"/>
      <c r="I44" s="383"/>
      <c r="J44" s="383"/>
      <c r="K44" s="383"/>
      <c r="L44" s="383"/>
      <c r="M44" s="383"/>
      <c r="N44" s="383"/>
      <c r="O44" s="383"/>
      <c r="P44" s="383"/>
      <c r="Q44" s="383"/>
      <c r="R44" s="383"/>
      <c r="S44" s="383"/>
      <c r="T44" s="383"/>
      <c r="U44" s="383"/>
      <c r="V44" s="383"/>
      <c r="W44" s="385"/>
    </row>
    <row r="45" ht="13.55" customHeight="1">
      <c r="A45" s="482"/>
      <c r="B45" s="383"/>
      <c r="C45" s="383"/>
      <c r="D45" s="383"/>
      <c r="E45" s="383"/>
      <c r="F45" s="383"/>
      <c r="G45" s="383"/>
      <c r="H45" s="383"/>
      <c r="I45" s="383"/>
      <c r="J45" s="383"/>
      <c r="K45" s="383"/>
      <c r="L45" s="383"/>
      <c r="M45" s="383"/>
      <c r="N45" s="383"/>
      <c r="O45" s="383"/>
      <c r="P45" s="383"/>
      <c r="Q45" s="383"/>
      <c r="R45" s="383"/>
      <c r="S45" s="383"/>
      <c r="T45" s="383"/>
      <c r="U45" s="383"/>
      <c r="V45" s="383"/>
      <c r="W45" s="385"/>
    </row>
    <row r="46" ht="13.55" customHeight="1">
      <c r="A46" s="482"/>
      <c r="B46" s="383"/>
      <c r="C46" s="383"/>
      <c r="D46" s="383"/>
      <c r="E46" s="383"/>
      <c r="F46" s="383"/>
      <c r="G46" s="383"/>
      <c r="H46" s="383"/>
      <c r="I46" s="383"/>
      <c r="J46" s="383"/>
      <c r="K46" s="383"/>
      <c r="L46" s="383"/>
      <c r="M46" s="383"/>
      <c r="N46" s="383"/>
      <c r="O46" s="383"/>
      <c r="P46" s="383"/>
      <c r="Q46" s="383"/>
      <c r="R46" s="383"/>
      <c r="S46" s="383"/>
      <c r="T46" s="383"/>
      <c r="U46" s="383"/>
      <c r="V46" s="383"/>
      <c r="W46" s="385"/>
    </row>
    <row r="47" ht="13.55" customHeight="1">
      <c r="A47" s="54"/>
      <c r="B47" s="54"/>
      <c r="C47" s="54"/>
      <c r="D47" s="54"/>
      <c r="E47" s="54"/>
      <c r="F47" s="54"/>
      <c r="G47" s="54"/>
      <c r="H47" s="54"/>
      <c r="I47" s="54"/>
      <c r="J47" s="54"/>
      <c r="K47" s="54"/>
      <c r="L47" s="54"/>
      <c r="M47" s="54"/>
      <c r="N47" s="54"/>
      <c r="O47" s="54"/>
      <c r="P47" s="54"/>
      <c r="Q47" s="54"/>
      <c r="R47" s="54"/>
      <c r="S47" s="54"/>
      <c r="T47" s="54"/>
      <c r="U47" s="54"/>
      <c r="V47" s="54"/>
      <c r="W47" s="54"/>
    </row>
    <row r="48" ht="13.55" customHeight="1">
      <c r="A48" s="526"/>
      <c r="B48" s="526"/>
      <c r="C48" s="526"/>
      <c r="D48" s="526"/>
      <c r="E48" s="526"/>
      <c r="F48" s="526"/>
      <c r="G48" s="526"/>
      <c r="H48" s="526"/>
      <c r="I48" s="526"/>
      <c r="J48" s="526"/>
      <c r="K48" s="526"/>
      <c r="L48" s="526"/>
      <c r="M48" s="526"/>
      <c r="N48" s="526"/>
      <c r="O48" s="526"/>
      <c r="P48" s="526"/>
      <c r="Q48" s="526"/>
      <c r="R48" s="526"/>
      <c r="S48" s="526"/>
      <c r="T48" s="526"/>
      <c r="U48" s="526"/>
      <c r="V48" s="526"/>
      <c r="W48" s="526"/>
    </row>
    <row r="49" ht="13.55" customHeight="1">
      <c r="A49" s="526"/>
      <c r="B49" s="526"/>
      <c r="C49" s="527"/>
      <c r="D49" s="526"/>
      <c r="E49" s="526"/>
      <c r="F49" s="526"/>
      <c r="G49" s="526"/>
      <c r="H49" s="526"/>
      <c r="I49" s="526"/>
      <c r="J49" s="526"/>
      <c r="K49" s="526"/>
      <c r="L49" s="526"/>
      <c r="M49" s="526"/>
      <c r="N49" s="526"/>
      <c r="O49" s="526"/>
      <c r="P49" s="526"/>
      <c r="Q49" s="526"/>
      <c r="R49" s="526"/>
      <c r="S49" s="526"/>
      <c r="T49" s="526"/>
      <c r="U49" s="526"/>
      <c r="V49" s="526"/>
      <c r="W49" s="526"/>
    </row>
    <row r="50" ht="13.55" customHeight="1">
      <c r="A50" s="526"/>
      <c r="B50" s="526"/>
      <c r="C50" s="526"/>
      <c r="D50" s="526"/>
      <c r="E50" s="526"/>
      <c r="F50" s="526"/>
      <c r="G50" s="526"/>
      <c r="H50" s="526"/>
      <c r="I50" s="526"/>
      <c r="J50" s="526"/>
      <c r="K50" s="526"/>
      <c r="L50" s="526"/>
      <c r="M50" s="526"/>
      <c r="N50" s="526"/>
      <c r="O50" s="526"/>
      <c r="P50" s="526"/>
      <c r="Q50" s="526"/>
      <c r="R50" s="526"/>
      <c r="S50" s="526"/>
      <c r="T50" s="526"/>
      <c r="U50" s="526"/>
      <c r="V50" s="526"/>
      <c r="W50" s="526"/>
    </row>
    <row r="51" ht="13.55" customHeight="1">
      <c r="A51" s="526"/>
      <c r="B51" s="526"/>
      <c r="C51" s="526"/>
      <c r="D51" s="526"/>
      <c r="E51" s="526"/>
      <c r="F51" s="526"/>
      <c r="G51" s="526"/>
      <c r="H51" s="526"/>
      <c r="I51" s="526"/>
      <c r="J51" s="526"/>
      <c r="K51" s="526"/>
      <c r="L51" s="526"/>
      <c r="M51" s="526"/>
      <c r="N51" s="526"/>
      <c r="O51" s="526"/>
      <c r="P51" s="526"/>
      <c r="Q51" s="526"/>
      <c r="R51" s="526"/>
      <c r="S51" s="526"/>
      <c r="T51" s="526"/>
      <c r="U51" s="526"/>
      <c r="V51" s="526"/>
      <c r="W51" s="526"/>
    </row>
    <row r="52" ht="13.55" customHeight="1">
      <c r="A52" s="526"/>
      <c r="B52" s="526"/>
      <c r="C52" s="526"/>
      <c r="D52" s="526"/>
      <c r="E52" s="526"/>
      <c r="F52" s="526"/>
      <c r="G52" s="526"/>
      <c r="H52" s="526"/>
      <c r="I52" s="526"/>
      <c r="J52" s="526"/>
      <c r="K52" s="526"/>
      <c r="L52" s="526"/>
      <c r="M52" s="526"/>
      <c r="N52" s="526"/>
      <c r="O52" s="526"/>
      <c r="P52" s="526"/>
      <c r="Q52" s="526"/>
      <c r="R52" s="526"/>
      <c r="S52" s="526"/>
      <c r="T52" s="526"/>
      <c r="U52" s="526"/>
      <c r="V52" s="526"/>
      <c r="W52" s="526"/>
    </row>
    <row r="53" ht="13.55" customHeight="1">
      <c r="A53" s="526"/>
      <c r="B53" s="526"/>
      <c r="C53" s="527"/>
      <c r="D53" s="526"/>
      <c r="E53" s="526"/>
      <c r="F53" s="526"/>
      <c r="G53" s="526"/>
      <c r="H53" s="526"/>
      <c r="I53" s="526"/>
      <c r="J53" s="526"/>
      <c r="K53" s="526"/>
      <c r="L53" s="526"/>
      <c r="M53" s="526"/>
      <c r="N53" s="526"/>
      <c r="O53" s="526"/>
      <c r="P53" s="526"/>
      <c r="Q53" s="526"/>
      <c r="R53" s="526"/>
      <c r="S53" s="526"/>
      <c r="T53" s="526"/>
      <c r="U53" s="526"/>
      <c r="V53" s="526"/>
      <c r="W53" s="526"/>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7.xml><?xml version="1.0" encoding="utf-8"?>
<worksheet xmlns:r="http://schemas.openxmlformats.org/officeDocument/2006/relationships" xmlns="http://schemas.openxmlformats.org/spreadsheetml/2006/main">
  <dimension ref="A1:X35"/>
  <sheetViews>
    <sheetView workbookViewId="0" showGridLines="0" defaultGridColor="1"/>
  </sheetViews>
  <sheetFormatPr defaultColWidth="9.16667" defaultRowHeight="14.25" customHeight="1" outlineLevelRow="0" outlineLevelCol="0"/>
  <cols>
    <col min="1" max="1" width="40.1719" style="528" customWidth="1"/>
    <col min="2" max="2" width="13.8516" style="528" customWidth="1"/>
    <col min="3" max="3" width="3.85156" style="528" customWidth="1"/>
    <col min="4" max="4" width="18.8516" style="528" customWidth="1"/>
    <col min="5" max="5" width="10.8516" style="528" customWidth="1"/>
    <col min="6" max="6" width="14.8516" style="528" customWidth="1"/>
    <col min="7" max="7" width="9.85156" style="528" customWidth="1"/>
    <col min="8" max="8" width="11.5" style="528" customWidth="1"/>
    <col min="9" max="9" width="10.8516" style="528" customWidth="1"/>
    <col min="10" max="10" width="3.5" style="528" customWidth="1"/>
    <col min="11" max="11" width="26" style="528" customWidth="1"/>
    <col min="12" max="12" width="18.8516" style="528" customWidth="1"/>
    <col min="13" max="13" width="5.5" style="528" customWidth="1"/>
    <col min="14" max="14" width="9" style="528" customWidth="1"/>
    <col min="15" max="15" width="13" style="528" customWidth="1"/>
    <col min="16" max="24" width="9.17188" style="528" customWidth="1"/>
    <col min="25" max="16384" width="9.17188" style="528" customWidth="1"/>
  </cols>
  <sheetData>
    <row r="1" ht="13.55" customHeight="1">
      <c r="A1" t="s" s="69">
        <v>419</v>
      </c>
      <c r="B1" t="s" s="69">
        <v>420</v>
      </c>
      <c r="C1" s="488"/>
      <c r="D1" s="529"/>
      <c r="E1" t="s" s="41">
        <v>421</v>
      </c>
      <c r="F1" t="s" s="41">
        <v>422</v>
      </c>
      <c r="G1" t="s" s="41">
        <v>423</v>
      </c>
      <c r="H1" t="s" s="41">
        <v>424</v>
      </c>
      <c r="I1" t="s" s="41">
        <v>425</v>
      </c>
      <c r="J1" s="490"/>
      <c r="K1" t="s" s="530">
        <v>426</v>
      </c>
      <c r="L1" s="531">
        <f>IF('KOV-id'!F6=1,1,IF('KOV-id'!F6=2,0.95,IF('KOV-id'!F6=3,0.5)))</f>
        <v>0.5</v>
      </c>
      <c r="M1" s="488"/>
      <c r="N1" s="374"/>
      <c r="O1" s="374"/>
      <c r="P1" s="374"/>
      <c r="Q1" s="374"/>
      <c r="R1" s="374"/>
      <c r="S1" s="374"/>
      <c r="T1" s="374"/>
      <c r="U1" s="374"/>
      <c r="V1" s="374"/>
      <c r="W1" s="374"/>
      <c r="X1" s="375"/>
    </row>
    <row r="2" ht="13.55" customHeight="1">
      <c r="A2" t="s" s="41">
        <v>427</v>
      </c>
      <c r="B2" s="75">
        <f>'Sisend'!B5</f>
        <v>4000</v>
      </c>
      <c r="C2" s="501"/>
      <c r="D2" t="s" s="41">
        <v>428</v>
      </c>
      <c r="E2" s="532">
        <f>IF(B7/B6&lt;0.001,0,IF(B7/B6&lt;0.005,1,IF(B7/B6&lt;0.01,2,IF(B7/B6&gt;=0.01,3))))</f>
        <v>2</v>
      </c>
      <c r="F2" s="280"/>
      <c r="G2" s="280"/>
      <c r="H2" s="280"/>
      <c r="I2" s="281"/>
      <c r="J2" s="501"/>
      <c r="K2" t="s" s="41">
        <v>429</v>
      </c>
      <c r="L2" s="330">
        <f>IF('KOV-id'!F6=1,1,IF('KOV-id'!F6=2,0.9,IF('KOV-id'!F6=3,0.7)))</f>
        <v>0.7</v>
      </c>
      <c r="M2" s="400"/>
      <c r="N2" s="383"/>
      <c r="O2" s="383"/>
      <c r="P2" s="383"/>
      <c r="Q2" s="383"/>
      <c r="R2" s="383"/>
      <c r="S2" s="383"/>
      <c r="T2" s="383"/>
      <c r="U2" s="383"/>
      <c r="V2" s="383"/>
      <c r="W2" s="383"/>
      <c r="X2" s="385"/>
    </row>
    <row r="3" ht="13.55" customHeight="1">
      <c r="A3" t="s" s="41">
        <v>430</v>
      </c>
      <c r="B3" s="419">
        <f>('Sisend'!C15+'Sisend'!C16)*B2</f>
        <v>3600</v>
      </c>
      <c r="C3" s="501"/>
      <c r="D3" t="s" s="41">
        <v>431</v>
      </c>
      <c r="E3" s="495">
        <f>IF('KOV-id'!F6=3,1,0)</f>
        <v>1</v>
      </c>
      <c r="F3" s="296"/>
      <c r="G3" s="296"/>
      <c r="H3" s="296"/>
      <c r="I3" s="533"/>
      <c r="J3" s="400"/>
      <c r="K3" s="423"/>
      <c r="L3" s="423"/>
      <c r="M3" s="383"/>
      <c r="N3" s="383"/>
      <c r="O3" s="383"/>
      <c r="P3" s="383"/>
      <c r="Q3" s="383"/>
      <c r="R3" s="383"/>
      <c r="S3" s="383"/>
      <c r="T3" s="383"/>
      <c r="U3" s="383"/>
      <c r="V3" s="383"/>
      <c r="W3" s="383"/>
      <c r="X3" s="385"/>
    </row>
    <row r="4" ht="13.55" customHeight="1">
      <c r="A4" t="s" s="41">
        <v>432</v>
      </c>
      <c r="B4" s="419">
        <f>B2-B3</f>
        <v>400</v>
      </c>
      <c r="C4" s="501"/>
      <c r="D4" t="s" s="41">
        <v>433</v>
      </c>
      <c r="E4" s="495">
        <f>IF(B5=4,1,0)</f>
        <v>0</v>
      </c>
      <c r="F4" s="296"/>
      <c r="G4" s="296"/>
      <c r="H4" s="296"/>
      <c r="I4" s="533"/>
      <c r="J4" s="400"/>
      <c r="K4" s="427"/>
      <c r="L4" s="427"/>
      <c r="M4" s="383"/>
      <c r="N4" s="383"/>
      <c r="O4" s="383"/>
      <c r="P4" s="383"/>
      <c r="Q4" s="383"/>
      <c r="R4" s="383"/>
      <c r="S4" s="383"/>
      <c r="T4" s="383"/>
      <c r="U4" s="383"/>
      <c r="V4" s="383"/>
      <c r="W4" s="383"/>
      <c r="X4" s="385"/>
    </row>
    <row r="5" ht="13.55" customHeight="1">
      <c r="A5" t="s" s="41">
        <v>434</v>
      </c>
      <c r="B5" s="336">
        <f>VLOOKUP('Sisend'!B7,'Parameetrid'!P24:T27,5,FALSE)</f>
        <v>1</v>
      </c>
      <c r="C5" s="501"/>
      <c r="D5" t="s" s="41">
        <v>435</v>
      </c>
      <c r="E5" s="497"/>
      <c r="F5" s="498">
        <f>IF(B3/B6&lt;0.01,0,IF(B3/B6&lt;0.03,1,IF(B3/B6&lt;0.1,2,IF(B3/B6&gt;=0.1,3))))</f>
        <v>3</v>
      </c>
      <c r="G5" s="296"/>
      <c r="H5" s="296"/>
      <c r="I5" s="533"/>
      <c r="J5" s="501"/>
      <c r="K5" t="s" s="41">
        <v>31</v>
      </c>
      <c r="L5" s="336">
        <v>1</v>
      </c>
      <c r="M5" s="400"/>
      <c r="N5" s="383"/>
      <c r="O5" s="383"/>
      <c r="P5" s="383"/>
      <c r="Q5" s="383"/>
      <c r="R5" s="383"/>
      <c r="S5" s="383"/>
      <c r="T5" s="383"/>
      <c r="U5" s="383"/>
      <c r="V5" s="383"/>
      <c r="W5" s="383"/>
      <c r="X5" s="385"/>
    </row>
    <row r="6" ht="13.55" customHeight="1">
      <c r="A6" t="s" s="41">
        <v>436</v>
      </c>
      <c r="B6" s="492">
        <f>'KOV-id'!E6</f>
        <v>30191</v>
      </c>
      <c r="C6" s="501"/>
      <c r="D6" t="s" s="41">
        <v>437</v>
      </c>
      <c r="E6" s="497"/>
      <c r="F6" s="296"/>
      <c r="G6" s="498">
        <f>IF(L10="Tallinn",0,IF(L10="Pärnu linn",0,IF('KOV-id'!F6=2,1,IF('KOV-id'!F6=3,2))))</f>
        <v>2</v>
      </c>
      <c r="H6" s="296"/>
      <c r="I6" s="533"/>
      <c r="J6" s="501"/>
      <c r="K6" t="s" s="41">
        <v>221</v>
      </c>
      <c r="L6" s="336">
        <v>4</v>
      </c>
      <c r="M6" s="400"/>
      <c r="N6" s="383"/>
      <c r="O6" s="383"/>
      <c r="P6" s="383"/>
      <c r="Q6" s="383"/>
      <c r="R6" s="383"/>
      <c r="S6" s="383"/>
      <c r="T6" s="383"/>
      <c r="U6" s="383"/>
      <c r="V6" s="383"/>
      <c r="W6" s="383"/>
      <c r="X6" s="385"/>
    </row>
    <row r="7" ht="13.55" customHeight="1">
      <c r="A7" t="s" s="41">
        <v>85</v>
      </c>
      <c r="B7" s="419">
        <f>'Sisend'!C41</f>
        <v>160</v>
      </c>
      <c r="C7" s="501"/>
      <c r="D7" t="s" s="41">
        <v>438</v>
      </c>
      <c r="E7" s="497"/>
      <c r="F7" s="534"/>
      <c r="G7" s="296"/>
      <c r="H7" s="498">
        <f>IF(AND(B5&gt;=4,'KOV-id'!F6&gt;=2),1,IF(AND('KOV-id'!F6=3,B5=1),-1,0))</f>
        <v>-1</v>
      </c>
      <c r="I7" s="533"/>
      <c r="J7" s="501"/>
      <c r="K7" t="s" s="41">
        <v>226</v>
      </c>
      <c r="L7" s="336">
        <v>5</v>
      </c>
      <c r="M7" s="400"/>
      <c r="N7" s="383"/>
      <c r="O7" s="383"/>
      <c r="P7" s="383"/>
      <c r="Q7" s="383"/>
      <c r="R7" s="383"/>
      <c r="S7" s="383"/>
      <c r="T7" s="383"/>
      <c r="U7" s="383"/>
      <c r="V7" s="383"/>
      <c r="W7" s="383"/>
      <c r="X7" s="385"/>
    </row>
    <row r="8" ht="13.55" customHeight="1">
      <c r="A8" t="s" s="41">
        <v>87</v>
      </c>
      <c r="B8" s="419">
        <f>'Sisend'!C42</f>
        <v>200</v>
      </c>
      <c r="C8" s="501"/>
      <c r="D8" t="s" s="41">
        <v>439</v>
      </c>
      <c r="E8" s="497"/>
      <c r="F8" s="296"/>
      <c r="G8" s="296"/>
      <c r="H8" s="296"/>
      <c r="I8" s="498">
        <f>IF(B4/B6&lt;0.0025,0,IF(B4/B6&lt;0.01,1,IF(B4/B6&lt;0.025,2,IF(B4/B6&gt;=0.025,3))))</f>
        <v>2</v>
      </c>
      <c r="J8" s="383"/>
      <c r="K8" s="453"/>
      <c r="L8" s="453"/>
      <c r="M8" s="383"/>
      <c r="N8" s="383"/>
      <c r="O8" s="383"/>
      <c r="P8" s="383"/>
      <c r="Q8" s="383"/>
      <c r="R8" s="383"/>
      <c r="S8" s="383"/>
      <c r="T8" s="383"/>
      <c r="U8" s="383"/>
      <c r="V8" s="383"/>
      <c r="W8" s="383"/>
      <c r="X8" s="385"/>
    </row>
    <row r="9" ht="13.55" customHeight="1">
      <c r="A9" t="s" s="69">
        <v>440</v>
      </c>
      <c r="B9" s="535"/>
      <c r="C9" s="501"/>
      <c r="D9" t="s" s="41">
        <v>441</v>
      </c>
      <c r="E9" s="503"/>
      <c r="F9" s="287"/>
      <c r="G9" s="287"/>
      <c r="H9" s="287"/>
      <c r="I9" s="536">
        <f>IF(B8/B6&lt;0.0005,0,IF(B8/B6&lt;0.001,1,IF(B8/B6&lt;0.0025,2,IF(B8/B6&gt;=0.0025,3))))</f>
        <v>3</v>
      </c>
      <c r="J9" s="501"/>
      <c r="K9" t="s" s="41">
        <v>442</v>
      </c>
      <c r="L9" s="537">
        <f>IF(B5=4,B2/10,0.0086*B2+34.725)</f>
        <v>69.125</v>
      </c>
      <c r="M9" s="400"/>
      <c r="N9" s="383"/>
      <c r="O9" s="383"/>
      <c r="P9" s="383"/>
      <c r="Q9" s="383"/>
      <c r="R9" s="383"/>
      <c r="S9" s="383"/>
      <c r="T9" s="383"/>
      <c r="U9" s="383"/>
      <c r="V9" s="383"/>
      <c r="W9" s="383"/>
      <c r="X9" s="385"/>
    </row>
    <row r="10" ht="13.55" customHeight="1">
      <c r="A10" t="s" s="41">
        <v>443</v>
      </c>
      <c r="B10" s="537">
        <f>SUM(E10:I10)</f>
        <v>12</v>
      </c>
      <c r="C10" s="501"/>
      <c r="D10" t="s" s="69">
        <v>402</v>
      </c>
      <c r="E10" s="419">
        <f>SUM(E2:E9)</f>
        <v>3</v>
      </c>
      <c r="F10" s="419">
        <f>SUM(F2:F9)</f>
        <v>3</v>
      </c>
      <c r="G10" s="419">
        <f>SUM(G2:G9)</f>
        <v>2</v>
      </c>
      <c r="H10" s="419">
        <f>SUM(H2:H9)</f>
        <v>-1</v>
      </c>
      <c r="I10" s="419">
        <f>SUM(I2:I9)</f>
        <v>5</v>
      </c>
      <c r="J10" s="501"/>
      <c r="K10" t="s" s="41">
        <v>292</v>
      </c>
      <c r="L10" t="s" s="333">
        <f>'Sisend'!B8</f>
        <v>444</v>
      </c>
      <c r="M10" s="400"/>
      <c r="N10" s="383"/>
      <c r="O10" s="383"/>
      <c r="P10" s="383"/>
      <c r="Q10" s="383"/>
      <c r="R10" s="383"/>
      <c r="S10" s="383"/>
      <c r="T10" s="383"/>
      <c r="U10" s="383"/>
      <c r="V10" s="383"/>
      <c r="W10" s="383"/>
      <c r="X10" s="385"/>
    </row>
    <row r="11" ht="13.55" customHeight="1">
      <c r="A11" t="s" s="538">
        <v>445</v>
      </c>
      <c r="B11" s="422">
        <f>IF(B10&lt;=0,-1,IF(B10&lt;=4,0,IF(B10&lt;7,1,IF(B10&lt;10,2,IF(B10&lt;12,3,IF(B10&lt;14,4,IF(B10&gt;=14,5)))))))</f>
        <v>4</v>
      </c>
      <c r="C11" s="454"/>
      <c r="D11" t="s" s="41">
        <v>404</v>
      </c>
      <c r="E11" s="506">
        <v>5</v>
      </c>
      <c r="F11" s="507">
        <v>3</v>
      </c>
      <c r="G11" s="507">
        <v>2</v>
      </c>
      <c r="H11" s="507">
        <v>1</v>
      </c>
      <c r="I11" s="507">
        <v>6</v>
      </c>
      <c r="J11" s="383"/>
      <c r="K11" s="423"/>
      <c r="L11" s="423"/>
      <c r="M11" s="383"/>
      <c r="N11" s="383"/>
      <c r="O11" s="383"/>
      <c r="P11" s="383"/>
      <c r="Q11" s="383"/>
      <c r="R11" s="383"/>
      <c r="S11" s="383"/>
      <c r="T11" s="383"/>
      <c r="U11" s="383"/>
      <c r="V11" s="383"/>
      <c r="W11" s="383"/>
      <c r="X11" s="385"/>
    </row>
    <row r="12" ht="13.55" customHeight="1">
      <c r="A12" s="482"/>
      <c r="B12" s="383"/>
      <c r="C12" s="383"/>
      <c r="D12" s="423"/>
      <c r="E12" s="383"/>
      <c r="F12" s="383"/>
      <c r="G12" s="383"/>
      <c r="H12" s="383"/>
      <c r="I12" s="383"/>
      <c r="J12" s="383"/>
      <c r="K12" s="383"/>
      <c r="L12" s="383"/>
      <c r="M12" s="383"/>
      <c r="N12" s="383"/>
      <c r="O12" s="383"/>
      <c r="P12" s="383"/>
      <c r="Q12" s="383"/>
      <c r="R12" s="383"/>
      <c r="S12" s="383"/>
      <c r="T12" s="383"/>
      <c r="U12" s="383"/>
      <c r="V12" s="383"/>
      <c r="W12" s="383"/>
      <c r="X12" s="385"/>
    </row>
    <row r="13" ht="13.55" customHeight="1">
      <c r="A13" s="482"/>
      <c r="B13" s="383"/>
      <c r="C13" s="539"/>
      <c r="D13" s="383"/>
      <c r="E13" s="383"/>
      <c r="F13" s="383"/>
      <c r="G13" s="540"/>
      <c r="H13" s="383"/>
      <c r="I13" s="541"/>
      <c r="J13" s="383"/>
      <c r="K13" s="383"/>
      <c r="L13" s="383"/>
      <c r="M13" s="383"/>
      <c r="N13" s="383"/>
      <c r="O13" s="383"/>
      <c r="P13" s="383"/>
      <c r="Q13" s="383"/>
      <c r="R13" s="383"/>
      <c r="S13" s="383"/>
      <c r="T13" s="383"/>
      <c r="U13" s="383"/>
      <c r="V13" s="383"/>
      <c r="W13" s="383"/>
      <c r="X13" s="385"/>
    </row>
    <row r="14" ht="13.55" customHeight="1">
      <c r="A14" s="482"/>
      <c r="B14" s="383"/>
      <c r="C14" s="539"/>
      <c r="D14" s="383"/>
      <c r="E14" s="383"/>
      <c r="F14" s="383"/>
      <c r="G14" s="383"/>
      <c r="H14" s="383"/>
      <c r="I14" s="383"/>
      <c r="J14" s="383"/>
      <c r="K14" s="383"/>
      <c r="L14" s="383"/>
      <c r="M14" s="383"/>
      <c r="N14" s="383"/>
      <c r="O14" s="383"/>
      <c r="P14" s="383"/>
      <c r="Q14" s="383"/>
      <c r="R14" s="383"/>
      <c r="S14" s="383"/>
      <c r="T14" s="383"/>
      <c r="U14" s="383"/>
      <c r="V14" s="383"/>
      <c r="W14" s="383"/>
      <c r="X14" s="385"/>
    </row>
    <row r="15" ht="13.55" customHeight="1">
      <c r="A15" s="482"/>
      <c r="B15" s="539"/>
      <c r="C15" s="539"/>
      <c r="D15" s="383"/>
      <c r="E15" s="383"/>
      <c r="F15" s="383"/>
      <c r="G15" s="383"/>
      <c r="H15" s="383"/>
      <c r="I15" s="383"/>
      <c r="J15" s="383"/>
      <c r="K15" s="383"/>
      <c r="L15" s="383"/>
      <c r="M15" s="383"/>
      <c r="N15" s="383"/>
      <c r="O15" s="383"/>
      <c r="P15" s="383"/>
      <c r="Q15" s="383"/>
      <c r="R15" s="383"/>
      <c r="S15" s="383"/>
      <c r="T15" s="383"/>
      <c r="U15" s="383"/>
      <c r="V15" s="383"/>
      <c r="W15" s="383"/>
      <c r="X15" s="385"/>
    </row>
    <row r="16" ht="13.55" customHeight="1">
      <c r="A16" s="482"/>
      <c r="B16" s="383"/>
      <c r="C16" s="383"/>
      <c r="D16" s="383"/>
      <c r="E16" s="383"/>
      <c r="F16" s="383"/>
      <c r="G16" s="383"/>
      <c r="H16" s="383"/>
      <c r="I16" s="383"/>
      <c r="J16" s="383"/>
      <c r="K16" s="383"/>
      <c r="L16" s="383"/>
      <c r="M16" s="383"/>
      <c r="N16" s="383"/>
      <c r="O16" s="383"/>
      <c r="P16" s="383"/>
      <c r="Q16" s="383"/>
      <c r="R16" s="383"/>
      <c r="S16" s="383"/>
      <c r="T16" s="383"/>
      <c r="U16" s="383"/>
      <c r="V16" s="383"/>
      <c r="W16" s="383"/>
      <c r="X16" s="385"/>
    </row>
    <row r="17" ht="13.55" customHeight="1">
      <c r="A17" s="542"/>
      <c r="B17" s="543"/>
      <c r="C17" s="383"/>
      <c r="D17" s="383"/>
      <c r="E17" s="383"/>
      <c r="F17" s="383"/>
      <c r="G17" s="383"/>
      <c r="H17" s="383"/>
      <c r="I17" s="383"/>
      <c r="J17" s="383"/>
      <c r="K17" s="383"/>
      <c r="L17" s="383"/>
      <c r="M17" s="383"/>
      <c r="N17" s="383"/>
      <c r="O17" s="383"/>
      <c r="P17" s="383"/>
      <c r="Q17" s="383"/>
      <c r="R17" s="383"/>
      <c r="S17" s="383"/>
      <c r="T17" s="383"/>
      <c r="U17" s="383"/>
      <c r="V17" s="383"/>
      <c r="W17" s="383"/>
      <c r="X17" s="385"/>
    </row>
    <row r="18" ht="13.55" customHeight="1">
      <c r="A18" s="542"/>
      <c r="B18" s="421"/>
      <c r="C18" s="383"/>
      <c r="D18" t="s" s="544">
        <v>10</v>
      </c>
      <c r="E18" s="383"/>
      <c r="F18" s="383"/>
      <c r="G18" s="383"/>
      <c r="H18" s="383"/>
      <c r="I18" s="383"/>
      <c r="J18" s="383"/>
      <c r="K18" s="383"/>
      <c r="L18" s="383"/>
      <c r="M18" s="383"/>
      <c r="N18" s="383"/>
      <c r="O18" s="383"/>
      <c r="P18" s="383"/>
      <c r="Q18" s="383"/>
      <c r="R18" s="383"/>
      <c r="S18" s="383"/>
      <c r="T18" s="383"/>
      <c r="U18" s="383"/>
      <c r="V18" s="383"/>
      <c r="W18" s="383"/>
      <c r="X18" s="385"/>
    </row>
    <row r="19" ht="13.55" customHeight="1">
      <c r="A19" s="542"/>
      <c r="B19" s="421"/>
      <c r="C19" s="383"/>
      <c r="D19" s="383"/>
      <c r="E19" s="383"/>
      <c r="F19" s="383"/>
      <c r="G19" s="383"/>
      <c r="H19" s="383"/>
      <c r="I19" s="383"/>
      <c r="J19" s="383"/>
      <c r="K19" s="383"/>
      <c r="L19" s="383"/>
      <c r="M19" s="383"/>
      <c r="N19" s="383"/>
      <c r="O19" s="383"/>
      <c r="P19" s="383"/>
      <c r="Q19" s="383"/>
      <c r="R19" s="383"/>
      <c r="S19" s="383"/>
      <c r="T19" s="383"/>
      <c r="U19" s="383"/>
      <c r="V19" s="383"/>
      <c r="W19" s="383"/>
      <c r="X19" s="385"/>
    </row>
    <row r="20" ht="13.55" customHeight="1">
      <c r="A20" s="542"/>
      <c r="B20" s="421"/>
      <c r="C20" s="383"/>
      <c r="D20" s="383"/>
      <c r="E20" s="383"/>
      <c r="F20" s="539"/>
      <c r="G20" s="383"/>
      <c r="H20" s="545"/>
      <c r="I20" s="539"/>
      <c r="J20" s="383"/>
      <c r="K20" s="383"/>
      <c r="L20" s="383"/>
      <c r="M20" s="383"/>
      <c r="N20" s="383"/>
      <c r="O20" s="383"/>
      <c r="P20" s="383"/>
      <c r="Q20" s="383"/>
      <c r="R20" s="383"/>
      <c r="S20" s="383"/>
      <c r="T20" s="383"/>
      <c r="U20" s="383"/>
      <c r="V20" s="383"/>
      <c r="W20" s="383"/>
      <c r="X20" s="385"/>
    </row>
    <row r="21" ht="13.55" customHeight="1">
      <c r="A21" s="542"/>
      <c r="B21" s="421"/>
      <c r="C21" s="383"/>
      <c r="D21" s="383"/>
      <c r="E21" s="383"/>
      <c r="F21" s="539"/>
      <c r="G21" s="383"/>
      <c r="H21" s="539"/>
      <c r="I21" s="383"/>
      <c r="J21" s="383"/>
      <c r="K21" s="383"/>
      <c r="L21" s="383"/>
      <c r="M21" s="383"/>
      <c r="N21" s="383"/>
      <c r="O21" s="383"/>
      <c r="P21" s="383"/>
      <c r="Q21" s="383"/>
      <c r="R21" s="383"/>
      <c r="S21" s="383"/>
      <c r="T21" s="383"/>
      <c r="U21" s="383"/>
      <c r="V21" s="383"/>
      <c r="W21" s="383"/>
      <c r="X21" s="385"/>
    </row>
    <row r="22" ht="13.55" customHeight="1">
      <c r="A22" s="482"/>
      <c r="B22" s="383"/>
      <c r="C22" s="383"/>
      <c r="D22" s="383"/>
      <c r="E22" s="383"/>
      <c r="F22" s="539"/>
      <c r="G22" s="383"/>
      <c r="H22" s="539"/>
      <c r="I22" s="383"/>
      <c r="J22" s="383"/>
      <c r="K22" s="383"/>
      <c r="L22" s="383"/>
      <c r="M22" s="383"/>
      <c r="N22" s="383"/>
      <c r="O22" s="383"/>
      <c r="P22" s="383"/>
      <c r="Q22" s="383"/>
      <c r="R22" s="383"/>
      <c r="S22" s="383"/>
      <c r="T22" s="383"/>
      <c r="U22" s="383"/>
      <c r="V22" s="383"/>
      <c r="W22" s="383"/>
      <c r="X22" s="385"/>
    </row>
    <row r="23" ht="13.55" customHeight="1">
      <c r="A23" s="482"/>
      <c r="B23" s="383"/>
      <c r="C23" s="383"/>
      <c r="D23" s="383"/>
      <c r="E23" s="383"/>
      <c r="F23" s="539"/>
      <c r="G23" s="383"/>
      <c r="H23" s="545"/>
      <c r="I23" s="545"/>
      <c r="J23" s="545"/>
      <c r="K23" s="383"/>
      <c r="L23" s="383"/>
      <c r="M23" s="383"/>
      <c r="N23" s="383"/>
      <c r="O23" s="383"/>
      <c r="P23" s="383"/>
      <c r="Q23" s="383"/>
      <c r="R23" s="383"/>
      <c r="S23" s="383"/>
      <c r="T23" s="383"/>
      <c r="U23" s="383"/>
      <c r="V23" s="383"/>
      <c r="W23" s="383"/>
      <c r="X23" s="385"/>
    </row>
    <row r="24" ht="13.55" customHeight="1">
      <c r="A24" s="482"/>
      <c r="B24" s="383"/>
      <c r="C24" s="383"/>
      <c r="D24" s="383"/>
      <c r="E24" s="546"/>
      <c r="F24" s="539"/>
      <c r="G24" s="383"/>
      <c r="H24" s="545"/>
      <c r="I24" s="383"/>
      <c r="J24" s="383"/>
      <c r="K24" s="383"/>
      <c r="L24" s="383"/>
      <c r="M24" s="383"/>
      <c r="N24" s="383"/>
      <c r="O24" s="383"/>
      <c r="P24" s="383"/>
      <c r="Q24" s="383"/>
      <c r="R24" s="383"/>
      <c r="S24" s="383"/>
      <c r="T24" s="383"/>
      <c r="U24" s="383"/>
      <c r="V24" s="383"/>
      <c r="W24" s="383"/>
      <c r="X24" s="385"/>
    </row>
    <row r="25" ht="13.55" customHeight="1">
      <c r="A25" s="482"/>
      <c r="B25" s="383"/>
      <c r="C25" s="383"/>
      <c r="D25" s="383"/>
      <c r="E25" s="383"/>
      <c r="F25" s="539"/>
      <c r="G25" s="383"/>
      <c r="H25" s="539"/>
      <c r="I25" s="539"/>
      <c r="J25" s="539"/>
      <c r="K25" s="383"/>
      <c r="L25" s="383"/>
      <c r="M25" s="383"/>
      <c r="N25" s="383"/>
      <c r="O25" s="383"/>
      <c r="P25" s="383"/>
      <c r="Q25" s="383"/>
      <c r="R25" s="383"/>
      <c r="S25" s="383"/>
      <c r="T25" s="383"/>
      <c r="U25" s="383"/>
      <c r="V25" s="383"/>
      <c r="W25" s="383"/>
      <c r="X25" s="385"/>
    </row>
    <row r="26" ht="13.55" customHeight="1">
      <c r="A26" s="482"/>
      <c r="B26" s="383"/>
      <c r="C26" s="383"/>
      <c r="D26" s="383"/>
      <c r="E26" s="383"/>
      <c r="F26" s="539"/>
      <c r="G26" s="383"/>
      <c r="H26" s="545"/>
      <c r="I26" s="383"/>
      <c r="J26" s="383"/>
      <c r="K26" s="383"/>
      <c r="L26" s="383"/>
      <c r="M26" s="383"/>
      <c r="N26" s="383"/>
      <c r="O26" s="383"/>
      <c r="P26" s="383"/>
      <c r="Q26" s="383"/>
      <c r="R26" s="383"/>
      <c r="S26" s="383"/>
      <c r="T26" s="383"/>
      <c r="U26" s="383"/>
      <c r="V26" s="383"/>
      <c r="W26" s="383"/>
      <c r="X26" s="385"/>
    </row>
    <row r="27" ht="13.55" customHeight="1">
      <c r="A27" s="482"/>
      <c r="B27" s="383"/>
      <c r="C27" s="383"/>
      <c r="D27" s="383"/>
      <c r="E27" s="383"/>
      <c r="F27" s="383"/>
      <c r="G27" s="383"/>
      <c r="H27" s="545"/>
      <c r="I27" s="383"/>
      <c r="J27" s="383"/>
      <c r="K27" s="383"/>
      <c r="L27" s="383"/>
      <c r="M27" s="383"/>
      <c r="N27" s="383"/>
      <c r="O27" s="383"/>
      <c r="P27" s="383"/>
      <c r="Q27" s="383"/>
      <c r="R27" s="383"/>
      <c r="S27" s="383"/>
      <c r="T27" s="383"/>
      <c r="U27" s="383"/>
      <c r="V27" s="383"/>
      <c r="W27" s="383"/>
      <c r="X27" s="385"/>
    </row>
    <row r="28" ht="13.55" customHeight="1">
      <c r="A28" s="482"/>
      <c r="B28" s="383"/>
      <c r="C28" s="383"/>
      <c r="D28" s="383"/>
      <c r="E28" s="383"/>
      <c r="F28" s="383"/>
      <c r="G28" s="383"/>
      <c r="H28" s="383"/>
      <c r="I28" s="383"/>
      <c r="J28" s="383"/>
      <c r="K28" s="383"/>
      <c r="L28" s="383"/>
      <c r="M28" s="383"/>
      <c r="N28" s="383"/>
      <c r="O28" s="383"/>
      <c r="P28" s="383"/>
      <c r="Q28" s="383"/>
      <c r="R28" s="383"/>
      <c r="S28" s="383"/>
      <c r="T28" s="383"/>
      <c r="U28" s="383"/>
      <c r="V28" s="383"/>
      <c r="W28" s="383"/>
      <c r="X28" s="385"/>
    </row>
    <row r="29" ht="13.55" customHeight="1">
      <c r="A29" s="482"/>
      <c r="B29" s="383"/>
      <c r="C29" s="383"/>
      <c r="D29" s="383"/>
      <c r="E29" s="383"/>
      <c r="F29" s="383"/>
      <c r="G29" s="383"/>
      <c r="H29" s="383"/>
      <c r="I29" s="383"/>
      <c r="J29" s="383"/>
      <c r="K29" s="383"/>
      <c r="L29" s="383"/>
      <c r="M29" s="383"/>
      <c r="N29" s="383"/>
      <c r="O29" s="383"/>
      <c r="P29" s="383"/>
      <c r="Q29" s="383"/>
      <c r="R29" s="383"/>
      <c r="S29" s="383"/>
      <c r="T29" s="383"/>
      <c r="U29" s="383"/>
      <c r="V29" s="383"/>
      <c r="W29" s="383"/>
      <c r="X29" s="385"/>
    </row>
    <row r="30" ht="13.55" customHeight="1">
      <c r="A30" s="482"/>
      <c r="B30" s="383"/>
      <c r="C30" s="383"/>
      <c r="D30" s="383"/>
      <c r="E30" s="383"/>
      <c r="F30" s="383"/>
      <c r="G30" s="383"/>
      <c r="H30" s="383"/>
      <c r="I30" s="383"/>
      <c r="J30" s="383"/>
      <c r="K30" s="383"/>
      <c r="L30" s="383"/>
      <c r="M30" s="383"/>
      <c r="N30" s="383"/>
      <c r="O30" s="383"/>
      <c r="P30" s="383"/>
      <c r="Q30" s="383"/>
      <c r="R30" s="383"/>
      <c r="S30" s="383"/>
      <c r="T30" s="383"/>
      <c r="U30" s="383"/>
      <c r="V30" s="383"/>
      <c r="W30" s="383"/>
      <c r="X30" s="385"/>
    </row>
    <row r="31" ht="13.55" customHeight="1">
      <c r="A31" s="482"/>
      <c r="B31" s="383"/>
      <c r="C31" s="383"/>
      <c r="D31" s="383"/>
      <c r="E31" s="383"/>
      <c r="F31" s="383"/>
      <c r="G31" s="383"/>
      <c r="H31" s="383"/>
      <c r="I31" s="383"/>
      <c r="J31" s="383"/>
      <c r="K31" s="383"/>
      <c r="L31" s="383"/>
      <c r="M31" s="383"/>
      <c r="N31" s="383"/>
      <c r="O31" s="383"/>
      <c r="P31" s="383"/>
      <c r="Q31" s="383"/>
      <c r="R31" s="383"/>
      <c r="S31" s="383"/>
      <c r="T31" s="383"/>
      <c r="U31" s="383"/>
      <c r="V31" s="383"/>
      <c r="W31" s="383"/>
      <c r="X31" s="385"/>
    </row>
    <row r="32" ht="13.55" customHeight="1">
      <c r="A32" s="482"/>
      <c r="B32" s="383"/>
      <c r="C32" s="383"/>
      <c r="D32" s="383"/>
      <c r="E32" s="383"/>
      <c r="F32" s="383"/>
      <c r="G32" s="383"/>
      <c r="H32" s="383"/>
      <c r="I32" s="383"/>
      <c r="J32" s="383"/>
      <c r="K32" s="383"/>
      <c r="L32" s="383"/>
      <c r="M32" s="383"/>
      <c r="N32" s="383"/>
      <c r="O32" s="383"/>
      <c r="P32" s="383"/>
      <c r="Q32" s="383"/>
      <c r="R32" s="383"/>
      <c r="S32" s="383"/>
      <c r="T32" s="383"/>
      <c r="U32" s="383"/>
      <c r="V32" s="383"/>
      <c r="W32" s="383"/>
      <c r="X32" s="385"/>
    </row>
    <row r="33" ht="13.55" customHeight="1">
      <c r="A33" s="482"/>
      <c r="B33" s="383"/>
      <c r="C33" s="383"/>
      <c r="D33" s="383"/>
      <c r="E33" s="383"/>
      <c r="F33" s="383"/>
      <c r="G33" s="383"/>
      <c r="H33" s="383"/>
      <c r="I33" s="383"/>
      <c r="J33" s="383"/>
      <c r="K33" s="383"/>
      <c r="L33" s="383"/>
      <c r="M33" s="383"/>
      <c r="N33" s="383"/>
      <c r="O33" s="383"/>
      <c r="P33" s="383"/>
      <c r="Q33" s="383"/>
      <c r="R33" s="383"/>
      <c r="S33" s="383"/>
      <c r="T33" s="383"/>
      <c r="U33" s="383"/>
      <c r="V33" s="383"/>
      <c r="W33" s="383"/>
      <c r="X33" s="385"/>
    </row>
    <row r="34" ht="13.55" customHeight="1">
      <c r="A34" s="482"/>
      <c r="B34" s="383"/>
      <c r="C34" s="383"/>
      <c r="D34" s="383"/>
      <c r="E34" s="383"/>
      <c r="F34" s="383"/>
      <c r="G34" s="383"/>
      <c r="H34" s="383"/>
      <c r="I34" s="383"/>
      <c r="J34" s="383"/>
      <c r="K34" s="383"/>
      <c r="L34" s="383"/>
      <c r="M34" s="383"/>
      <c r="N34" s="383"/>
      <c r="O34" s="383"/>
      <c r="P34" s="383"/>
      <c r="Q34" s="383"/>
      <c r="R34" s="383"/>
      <c r="S34" s="383"/>
      <c r="T34" s="383"/>
      <c r="U34" s="383"/>
      <c r="V34" s="383"/>
      <c r="W34" s="383"/>
      <c r="X34" s="385"/>
    </row>
    <row r="35" ht="13.55" customHeight="1">
      <c r="A35" s="483"/>
      <c r="B35" s="484"/>
      <c r="C35" s="484"/>
      <c r="D35" s="484"/>
      <c r="E35" s="484"/>
      <c r="F35" s="484"/>
      <c r="G35" s="484"/>
      <c r="H35" s="484"/>
      <c r="I35" s="484"/>
      <c r="J35" s="484"/>
      <c r="K35" s="484"/>
      <c r="L35" s="484"/>
      <c r="M35" s="484"/>
      <c r="N35" s="484"/>
      <c r="O35" s="484"/>
      <c r="P35" s="484"/>
      <c r="Q35" s="484"/>
      <c r="R35" s="484"/>
      <c r="S35" s="484"/>
      <c r="T35" s="484"/>
      <c r="U35" s="484"/>
      <c r="V35" s="484"/>
      <c r="W35" s="484"/>
      <c r="X35" s="485"/>
    </row>
  </sheetData>
  <conditionalFormatting sqref="B9">
    <cfRule type="cellIs" dxfId="13" priority="1" operator="between" stopIfTrue="1">
      <formula>-1</formula>
      <formula>-3</formula>
    </cfRule>
    <cfRule type="cellIs" dxfId="14" priority="2" operator="between" stopIfTrue="1">
      <formula>1</formula>
      <formula>3</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8.xml><?xml version="1.0" encoding="utf-8"?>
<worksheet xmlns:r="http://schemas.openxmlformats.org/officeDocument/2006/relationships" xmlns="http://schemas.openxmlformats.org/spreadsheetml/2006/main">
  <dimension ref="A1:G108"/>
  <sheetViews>
    <sheetView workbookViewId="0" showGridLines="0" defaultGridColor="1"/>
  </sheetViews>
  <sheetFormatPr defaultColWidth="9.16667" defaultRowHeight="14.25" customHeight="1" outlineLevelRow="0" outlineLevelCol="0"/>
  <cols>
    <col min="1" max="1" width="14.5" style="547" customWidth="1"/>
    <col min="2" max="2" width="17.1719" style="547" customWidth="1"/>
    <col min="3" max="7" width="9.17188" style="547" customWidth="1"/>
    <col min="8" max="16384" width="9.17188" style="547" customWidth="1"/>
  </cols>
  <sheetData>
    <row r="1" ht="18" customHeight="1">
      <c r="A1" t="s" s="548">
        <v>446</v>
      </c>
      <c r="B1" s="526"/>
      <c r="C1" s="526"/>
      <c r="D1" s="526"/>
      <c r="E1" s="526"/>
      <c r="F1" s="526"/>
      <c r="G1" s="526"/>
    </row>
    <row r="2" ht="13.55" customHeight="1">
      <c r="A2" s="526"/>
      <c r="B2" s="526"/>
      <c r="C2" s="526"/>
      <c r="D2" s="526"/>
      <c r="E2" s="526"/>
      <c r="F2" s="526"/>
      <c r="G2" s="526"/>
    </row>
    <row r="3" ht="13.55" customHeight="1">
      <c r="A3" s="526"/>
      <c r="B3" s="526"/>
      <c r="C3" t="s" s="549">
        <v>447</v>
      </c>
      <c r="D3" s="526"/>
      <c r="E3" s="526"/>
      <c r="F3" s="526"/>
      <c r="G3" s="526"/>
    </row>
    <row r="4" ht="13.55" customHeight="1">
      <c r="A4" s="526"/>
      <c r="B4" s="526"/>
      <c r="C4" s="550"/>
      <c r="D4" t="s" s="551">
        <v>10</v>
      </c>
      <c r="E4" s="526"/>
      <c r="F4" s="526"/>
      <c r="G4" s="526"/>
    </row>
    <row r="5" ht="13.55" customHeight="1">
      <c r="A5" s="550"/>
      <c r="B5" t="s" s="549">
        <v>448</v>
      </c>
      <c r="C5" s="552">
        <v>4176</v>
      </c>
      <c r="D5" s="526"/>
      <c r="E5" t="s" s="551">
        <v>449</v>
      </c>
      <c r="F5" t="s" s="551">
        <v>201</v>
      </c>
      <c r="G5" s="526"/>
    </row>
    <row r="6" ht="13.55" customHeight="1">
      <c r="A6" s="526"/>
      <c r="B6" t="s" s="549">
        <v>450</v>
      </c>
      <c r="C6" s="552">
        <v>6456</v>
      </c>
      <c r="D6" s="526"/>
      <c r="E6" s="552">
        <f>VLOOKUP('Sisend'!B8,B5:C84,2,FALSE)</f>
        <v>30191</v>
      </c>
      <c r="F6" s="553">
        <f>IF((E6&gt;200000),1,(IF((E6&gt;100000),2,3)))</f>
        <v>3</v>
      </c>
      <c r="G6" s="526"/>
    </row>
    <row r="7" ht="13.55" customHeight="1">
      <c r="A7" s="526"/>
      <c r="B7" t="s" s="549">
        <v>451</v>
      </c>
      <c r="C7" s="552">
        <v>4200</v>
      </c>
      <c r="D7" s="526"/>
      <c r="E7" s="526"/>
      <c r="F7" s="526"/>
      <c r="G7" s="526"/>
    </row>
    <row r="8" ht="13.55" customHeight="1">
      <c r="A8" s="526"/>
      <c r="B8" t="s" s="549">
        <v>452</v>
      </c>
      <c r="C8" s="552">
        <v>14863</v>
      </c>
      <c r="D8" s="526"/>
      <c r="E8" s="526"/>
      <c r="F8" s="526"/>
      <c r="G8" s="526"/>
    </row>
    <row r="9" ht="13.55" customHeight="1">
      <c r="A9" s="526"/>
      <c r="B9" t="s" s="549">
        <v>453</v>
      </c>
      <c r="C9" s="552">
        <v>4677</v>
      </c>
      <c r="D9" s="526"/>
      <c r="E9" s="554"/>
      <c r="F9" s="526"/>
      <c r="G9" s="526"/>
    </row>
    <row r="10" ht="13.55" customHeight="1">
      <c r="A10" s="526"/>
      <c r="B10" t="s" s="549">
        <v>454</v>
      </c>
      <c r="C10" s="552">
        <v>13435</v>
      </c>
      <c r="D10" s="526"/>
      <c r="E10" s="526"/>
      <c r="F10" s="526"/>
      <c r="G10" s="526"/>
    </row>
    <row r="11" ht="13.55" customHeight="1">
      <c r="A11" s="526"/>
      <c r="B11" t="s" s="549">
        <v>455</v>
      </c>
      <c r="C11" s="552">
        <v>4072</v>
      </c>
      <c r="D11" s="526"/>
      <c r="E11" s="526"/>
      <c r="F11" s="526"/>
      <c r="G11" s="526"/>
    </row>
    <row r="12" ht="13.55" customHeight="1">
      <c r="A12" s="526"/>
      <c r="B12" t="s" s="549">
        <v>456</v>
      </c>
      <c r="C12" s="552">
        <v>17294</v>
      </c>
      <c r="D12" s="526"/>
      <c r="E12" s="526"/>
      <c r="F12" s="526"/>
      <c r="G12" s="526"/>
    </row>
    <row r="13" ht="13.55" customHeight="1">
      <c r="A13" s="526"/>
      <c r="B13" t="s" s="549">
        <v>457</v>
      </c>
      <c r="C13" s="552">
        <v>8474</v>
      </c>
      <c r="D13" s="526"/>
      <c r="E13" s="526"/>
      <c r="F13" s="526"/>
      <c r="G13" s="526"/>
    </row>
    <row r="14" ht="13.55" customHeight="1">
      <c r="A14" s="526"/>
      <c r="B14" t="s" s="549">
        <v>458</v>
      </c>
      <c r="C14" s="552">
        <v>8725</v>
      </c>
      <c r="D14" s="526"/>
      <c r="E14" s="526"/>
      <c r="F14" s="526"/>
      <c r="G14" t="s" s="551">
        <v>10</v>
      </c>
    </row>
    <row r="15" ht="13.55" customHeight="1">
      <c r="A15" s="526"/>
      <c r="B15" t="s" s="549">
        <v>459</v>
      </c>
      <c r="C15" s="552">
        <v>7305</v>
      </c>
      <c r="D15" s="526"/>
      <c r="E15" s="526"/>
      <c r="F15" s="526"/>
      <c r="G15" s="526"/>
    </row>
    <row r="16" ht="13.55" customHeight="1">
      <c r="A16" s="526"/>
      <c r="B16" t="s" s="549">
        <v>460</v>
      </c>
      <c r="C16" s="552">
        <v>13122</v>
      </c>
      <c r="D16" s="526"/>
      <c r="E16" s="526"/>
      <c r="F16" s="526"/>
      <c r="G16" s="526"/>
    </row>
    <row r="17" ht="13.55" customHeight="1">
      <c r="A17" s="526"/>
      <c r="B17" t="s" s="549">
        <v>461</v>
      </c>
      <c r="C17" s="552">
        <v>12351</v>
      </c>
      <c r="D17" s="526"/>
      <c r="E17" s="526"/>
      <c r="F17" s="526"/>
      <c r="G17" s="526"/>
    </row>
    <row r="18" ht="13.55" customHeight="1">
      <c r="A18" s="526"/>
      <c r="B18" t="s" s="549">
        <v>462</v>
      </c>
      <c r="C18" s="552">
        <v>4799</v>
      </c>
      <c r="D18" s="526"/>
      <c r="E18" s="526"/>
      <c r="F18" s="526"/>
      <c r="G18" s="526"/>
    </row>
    <row r="19" ht="13.55" customHeight="1">
      <c r="A19" s="526"/>
      <c r="B19" t="s" s="549">
        <v>463</v>
      </c>
      <c r="C19" s="552">
        <v>13705</v>
      </c>
      <c r="D19" s="526"/>
      <c r="E19" s="526"/>
      <c r="F19" s="526"/>
      <c r="G19" s="526"/>
    </row>
    <row r="20" ht="13.55" customHeight="1">
      <c r="A20" s="526"/>
      <c r="B20" t="s" s="549">
        <v>464</v>
      </c>
      <c r="C20" s="552">
        <v>4453</v>
      </c>
      <c r="D20" s="526"/>
      <c r="E20" s="526"/>
      <c r="F20" s="526"/>
      <c r="G20" s="526"/>
    </row>
    <row r="21" ht="13.55" customHeight="1">
      <c r="A21" s="526"/>
      <c r="B21" t="s" s="549">
        <v>465</v>
      </c>
      <c r="C21" s="552">
        <v>5718</v>
      </c>
      <c r="D21" s="526"/>
      <c r="E21" s="526"/>
      <c r="F21" s="526"/>
      <c r="G21" s="526"/>
    </row>
    <row r="22" ht="13.55" customHeight="1">
      <c r="A22" s="526"/>
      <c r="B22" t="s" s="549">
        <v>466</v>
      </c>
      <c r="C22" s="552">
        <v>5454</v>
      </c>
      <c r="D22" s="526"/>
      <c r="E22" s="526"/>
      <c r="F22" s="526"/>
      <c r="G22" s="526"/>
    </row>
    <row r="23" ht="13.55" customHeight="1">
      <c r="A23" s="526"/>
      <c r="B23" t="s" s="549">
        <v>467</v>
      </c>
      <c r="C23" s="552">
        <v>10905</v>
      </c>
      <c r="D23" s="526"/>
      <c r="E23" s="526"/>
      <c r="F23" s="526"/>
      <c r="G23" s="526"/>
    </row>
    <row r="24" ht="13.55" customHeight="1">
      <c r="A24" s="526"/>
      <c r="B24" t="s" s="549">
        <v>468</v>
      </c>
      <c r="C24" s="552">
        <v>529</v>
      </c>
      <c r="D24" s="526"/>
      <c r="E24" s="526"/>
      <c r="F24" s="526"/>
      <c r="G24" s="526"/>
    </row>
    <row r="25" ht="13.55" customHeight="1">
      <c r="A25" s="526"/>
      <c r="B25" t="s" s="549">
        <v>469</v>
      </c>
      <c r="C25" s="552">
        <v>6391</v>
      </c>
      <c r="D25" s="526"/>
      <c r="E25" s="526"/>
      <c r="F25" s="526"/>
      <c r="G25" s="526"/>
    </row>
    <row r="26" ht="13.55" customHeight="1">
      <c r="A26" s="526"/>
      <c r="B26" t="s" s="549">
        <v>470</v>
      </c>
      <c r="C26" s="552">
        <v>7726</v>
      </c>
      <c r="D26" s="526"/>
      <c r="E26" s="526"/>
      <c r="F26" s="526"/>
      <c r="G26" s="526"/>
    </row>
    <row r="27" ht="13.55" customHeight="1">
      <c r="A27" s="526"/>
      <c r="B27" t="s" s="549">
        <v>471</v>
      </c>
      <c r="C27" s="552">
        <v>33675</v>
      </c>
      <c r="D27" s="526"/>
      <c r="E27" s="526"/>
      <c r="F27" s="526"/>
      <c r="G27" s="526"/>
    </row>
    <row r="28" ht="13.55" customHeight="1">
      <c r="A28" s="526"/>
      <c r="B28" t="s" s="549">
        <v>472</v>
      </c>
      <c r="C28" s="552">
        <v>7754</v>
      </c>
      <c r="D28" s="526"/>
      <c r="E28" s="526"/>
      <c r="F28" s="526"/>
      <c r="G28" s="526"/>
    </row>
    <row r="29" ht="13.55" customHeight="1">
      <c r="A29" s="526"/>
      <c r="B29" t="s" s="549">
        <v>473</v>
      </c>
      <c r="C29" s="552">
        <v>6380</v>
      </c>
      <c r="D29" s="526"/>
      <c r="E29" s="526"/>
      <c r="F29" s="526"/>
      <c r="G29" s="526"/>
    </row>
    <row r="30" ht="13.55" customHeight="1">
      <c r="A30" s="526"/>
      <c r="B30" t="s" s="549">
        <v>474</v>
      </c>
      <c r="C30" s="552">
        <v>13462</v>
      </c>
      <c r="D30" s="526"/>
      <c r="E30" s="526"/>
      <c r="F30" s="526"/>
      <c r="G30" s="526"/>
    </row>
    <row r="31" ht="13.55" customHeight="1">
      <c r="A31" s="526"/>
      <c r="B31" t="s" s="549">
        <v>475</v>
      </c>
      <c r="C31" s="552">
        <v>6961</v>
      </c>
      <c r="D31" s="526"/>
      <c r="E31" s="526"/>
      <c r="F31" s="526"/>
      <c r="G31" s="526"/>
    </row>
    <row r="32" ht="13.55" customHeight="1">
      <c r="A32" s="526"/>
      <c r="B32" t="s" s="549">
        <v>476</v>
      </c>
      <c r="C32" s="552">
        <v>5092</v>
      </c>
      <c r="D32" s="526"/>
      <c r="E32" s="526"/>
      <c r="F32" s="526"/>
      <c r="G32" s="526"/>
    </row>
    <row r="33" ht="13.55" customHeight="1">
      <c r="A33" s="526"/>
      <c r="B33" t="s" s="549">
        <v>477</v>
      </c>
      <c r="C33" s="552">
        <v>2603</v>
      </c>
      <c r="D33" s="526"/>
      <c r="E33" s="526"/>
      <c r="F33" s="526"/>
      <c r="G33" s="526"/>
    </row>
    <row r="34" ht="13.55" customHeight="1">
      <c r="A34" s="526"/>
      <c r="B34" t="s" s="549">
        <v>478</v>
      </c>
      <c r="C34" s="552">
        <v>8250</v>
      </c>
      <c r="D34" s="526"/>
      <c r="E34" s="526"/>
      <c r="F34" s="526"/>
      <c r="G34" s="526"/>
    </row>
    <row r="35" ht="13.55" customHeight="1">
      <c r="A35" s="526"/>
      <c r="B35" t="s" s="549">
        <v>479</v>
      </c>
      <c r="C35" s="552">
        <v>5612</v>
      </c>
      <c r="D35" s="526"/>
      <c r="E35" s="526"/>
      <c r="F35" s="526"/>
      <c r="G35" s="526"/>
    </row>
    <row r="36" ht="13.55" customHeight="1">
      <c r="A36" s="526"/>
      <c r="B36" t="s" s="549">
        <v>480</v>
      </c>
      <c r="C36" s="552">
        <v>16750</v>
      </c>
      <c r="D36" s="526"/>
      <c r="E36" s="526"/>
      <c r="F36" s="526"/>
      <c r="G36" s="526"/>
    </row>
    <row r="37" ht="13.55" customHeight="1">
      <c r="A37" s="526"/>
      <c r="B37" t="s" s="549">
        <v>481</v>
      </c>
      <c r="C37" s="552">
        <v>7405</v>
      </c>
      <c r="D37" s="526"/>
      <c r="E37" s="526"/>
      <c r="F37" s="526"/>
      <c r="G37" s="526"/>
    </row>
    <row r="38" ht="13.55" customHeight="1">
      <c r="A38" s="526"/>
      <c r="B38" t="s" s="549">
        <v>482</v>
      </c>
      <c r="C38" s="552">
        <v>1640</v>
      </c>
      <c r="D38" s="526"/>
      <c r="E38" s="526"/>
      <c r="F38" s="526"/>
      <c r="G38" s="526"/>
    </row>
    <row r="39" ht="13.55" customHeight="1">
      <c r="A39" s="526"/>
      <c r="B39" t="s" s="549">
        <v>483</v>
      </c>
      <c r="C39" s="552">
        <v>7086</v>
      </c>
      <c r="D39" s="526"/>
      <c r="E39" s="526"/>
      <c r="F39" s="526"/>
      <c r="G39" s="526"/>
    </row>
    <row r="40" ht="13.55" customHeight="1">
      <c r="A40" s="526"/>
      <c r="B40" t="s" s="549">
        <v>484</v>
      </c>
      <c r="C40" s="552">
        <v>4952</v>
      </c>
      <c r="D40" s="526"/>
      <c r="E40" s="526"/>
      <c r="F40" s="526"/>
      <c r="G40" s="526"/>
    </row>
    <row r="41" ht="13.55" customHeight="1">
      <c r="A41" s="526"/>
      <c r="B41" t="s" s="549">
        <v>485</v>
      </c>
      <c r="C41" s="552">
        <v>53875</v>
      </c>
      <c r="D41" s="526"/>
      <c r="E41" s="526"/>
      <c r="F41" s="526"/>
      <c r="G41" s="526"/>
    </row>
    <row r="42" ht="13.55" customHeight="1">
      <c r="A42" s="526"/>
      <c r="B42" t="s" s="549">
        <v>486</v>
      </c>
      <c r="C42" s="552">
        <v>4269</v>
      </c>
      <c r="D42" s="526"/>
      <c r="E42" s="526"/>
      <c r="F42" s="526"/>
      <c r="G42" s="526"/>
    </row>
    <row r="43" ht="13.55" customHeight="1">
      <c r="A43" s="526"/>
      <c r="B43" t="s" s="549">
        <v>487</v>
      </c>
      <c r="C43" s="552">
        <v>4289</v>
      </c>
      <c r="D43" s="526"/>
      <c r="E43" s="526"/>
      <c r="F43" s="526"/>
      <c r="G43" s="526"/>
    </row>
    <row r="44" ht="13.55" customHeight="1">
      <c r="A44" s="526"/>
      <c r="B44" t="s" s="549">
        <v>488</v>
      </c>
      <c r="C44" s="552">
        <v>6388</v>
      </c>
      <c r="D44" s="526"/>
      <c r="E44" s="526"/>
      <c r="F44" s="526"/>
      <c r="G44" s="526"/>
    </row>
    <row r="45" ht="13.55" customHeight="1">
      <c r="A45" s="526"/>
      <c r="B45" t="s" s="549">
        <v>489</v>
      </c>
      <c r="C45" s="552">
        <v>10664</v>
      </c>
      <c r="D45" s="526"/>
      <c r="E45" s="526"/>
      <c r="F45" s="526"/>
      <c r="G45" s="526"/>
    </row>
    <row r="46" ht="13.55" customHeight="1">
      <c r="A46" s="526"/>
      <c r="B46" t="s" s="549">
        <v>490</v>
      </c>
      <c r="C46" s="552">
        <v>52362</v>
      </c>
      <c r="D46" s="526"/>
      <c r="E46" s="526"/>
      <c r="F46" s="526"/>
      <c r="G46" s="526"/>
    </row>
    <row r="47" ht="13.55" customHeight="1">
      <c r="A47" s="526"/>
      <c r="B47" t="s" s="549">
        <v>491</v>
      </c>
      <c r="C47" s="552">
        <v>5059</v>
      </c>
      <c r="D47" s="526"/>
      <c r="E47" s="526"/>
      <c r="F47" s="526"/>
      <c r="G47" s="526"/>
    </row>
    <row r="48" ht="13.55" customHeight="1">
      <c r="A48" s="526"/>
      <c r="B48" t="s" s="549">
        <v>492</v>
      </c>
      <c r="C48" s="552">
        <v>8088</v>
      </c>
      <c r="D48" s="526"/>
      <c r="E48" t="s" s="551">
        <v>10</v>
      </c>
      <c r="F48" s="526"/>
      <c r="G48" s="526"/>
    </row>
    <row r="49" ht="13.55" customHeight="1">
      <c r="A49" s="526"/>
      <c r="B49" t="s" s="549">
        <v>493</v>
      </c>
      <c r="C49" s="552">
        <v>7748</v>
      </c>
      <c r="D49" s="526"/>
      <c r="E49" s="526"/>
      <c r="F49" s="526"/>
      <c r="G49" s="526"/>
    </row>
    <row r="50" ht="13.55" customHeight="1">
      <c r="A50" s="526"/>
      <c r="B50" t="s" s="549">
        <v>494</v>
      </c>
      <c r="C50" s="552">
        <v>9665</v>
      </c>
      <c r="D50" s="526"/>
      <c r="E50" s="526"/>
      <c r="F50" s="526"/>
      <c r="G50" s="526"/>
    </row>
    <row r="51" ht="13.55" customHeight="1">
      <c r="A51" s="526"/>
      <c r="B51" t="s" s="549">
        <v>495</v>
      </c>
      <c r="C51" s="552">
        <v>13534</v>
      </c>
      <c r="D51" s="526"/>
      <c r="E51" s="526"/>
      <c r="F51" s="526"/>
      <c r="G51" s="526"/>
    </row>
    <row r="52" ht="13.55" customHeight="1">
      <c r="A52" s="526"/>
      <c r="B52" t="s" s="549">
        <v>496</v>
      </c>
      <c r="C52" s="552">
        <v>5284</v>
      </c>
      <c r="D52" s="526"/>
      <c r="E52" s="526"/>
      <c r="F52" s="526"/>
      <c r="G52" s="526"/>
    </row>
    <row r="53" ht="13.55" customHeight="1">
      <c r="A53" s="526"/>
      <c r="B53" t="s" s="549">
        <v>497</v>
      </c>
      <c r="C53" s="552">
        <v>24276</v>
      </c>
      <c r="D53" s="526"/>
      <c r="E53" s="526"/>
      <c r="F53" s="526"/>
      <c r="G53" s="526"/>
    </row>
    <row r="54" ht="13.55" customHeight="1">
      <c r="A54" s="526"/>
      <c r="B54" t="s" s="549">
        <v>498</v>
      </c>
      <c r="C54" s="552">
        <v>15614</v>
      </c>
      <c r="D54" s="526"/>
      <c r="E54" s="526"/>
      <c r="F54" s="526"/>
      <c r="G54" s="526"/>
    </row>
    <row r="55" ht="13.55" customHeight="1">
      <c r="A55" s="526"/>
      <c r="B55" t="s" s="549">
        <v>499</v>
      </c>
      <c r="C55" s="552">
        <v>5859</v>
      </c>
      <c r="D55" s="526"/>
      <c r="E55" s="526"/>
      <c r="F55" s="526"/>
      <c r="G55" s="526"/>
    </row>
    <row r="56" ht="13.55" customHeight="1">
      <c r="A56" s="526"/>
      <c r="B56" t="s" s="549">
        <v>500</v>
      </c>
      <c r="C56" s="552">
        <v>6049</v>
      </c>
      <c r="D56" s="526"/>
      <c r="E56" s="526"/>
      <c r="F56" s="526"/>
      <c r="G56" s="526"/>
    </row>
    <row r="57" ht="13.55" customHeight="1">
      <c r="A57" s="526"/>
      <c r="B57" t="s" s="549">
        <v>501</v>
      </c>
      <c r="C57" s="552">
        <v>13453</v>
      </c>
      <c r="D57" s="526"/>
      <c r="E57" s="526"/>
      <c r="F57" s="526"/>
      <c r="G57" s="526"/>
    </row>
    <row r="58" ht="13.55" customHeight="1">
      <c r="A58" s="526"/>
      <c r="B58" t="s" s="549">
        <v>502</v>
      </c>
      <c r="C58" s="552">
        <v>4865</v>
      </c>
      <c r="D58" s="526"/>
      <c r="E58" s="526"/>
      <c r="F58" s="526"/>
      <c r="G58" s="526"/>
    </row>
    <row r="59" ht="13.55" customHeight="1">
      <c r="A59" s="526"/>
      <c r="B59" t="s" s="549">
        <v>503</v>
      </c>
      <c r="C59" s="552">
        <v>88</v>
      </c>
      <c r="D59" s="526"/>
      <c r="E59" s="526"/>
      <c r="F59" s="526"/>
      <c r="G59" s="526"/>
    </row>
    <row r="60" ht="13.55" customHeight="1">
      <c r="A60" s="526"/>
      <c r="B60" t="s" s="549">
        <v>504</v>
      </c>
      <c r="C60" s="552">
        <v>4393</v>
      </c>
      <c r="D60" s="526"/>
      <c r="E60" s="526"/>
      <c r="F60" s="526"/>
      <c r="G60" s="526"/>
    </row>
    <row r="61" ht="13.55" customHeight="1">
      <c r="A61" s="526"/>
      <c r="B61" t="s" s="549">
        <v>33</v>
      </c>
      <c r="C61" s="552">
        <v>30191</v>
      </c>
      <c r="D61" s="526"/>
      <c r="E61" s="526"/>
      <c r="F61" s="526"/>
      <c r="G61" s="526"/>
    </row>
    <row r="62" ht="13.55" customHeight="1">
      <c r="A62" s="526"/>
      <c r="B62" t="s" s="549">
        <v>505</v>
      </c>
      <c r="C62" s="552">
        <v>11510</v>
      </c>
      <c r="D62" s="526"/>
      <c r="E62" s="526"/>
      <c r="F62" s="526"/>
      <c r="G62" s="526"/>
    </row>
    <row r="63" ht="13.55" customHeight="1">
      <c r="A63" s="526"/>
      <c r="B63" t="s" s="549">
        <v>506</v>
      </c>
      <c r="C63" s="552">
        <v>25370</v>
      </c>
      <c r="D63" s="526"/>
      <c r="E63" s="526"/>
      <c r="F63" s="526"/>
      <c r="G63" s="526"/>
    </row>
    <row r="64" ht="13.55" customHeight="1">
      <c r="A64" s="526"/>
      <c r="B64" t="s" s="549">
        <v>507</v>
      </c>
      <c r="C64" s="552">
        <v>2823</v>
      </c>
      <c r="D64" s="526"/>
      <c r="E64" s="526"/>
      <c r="F64" s="526"/>
      <c r="G64" s="526"/>
    </row>
    <row r="65" ht="13.55" customHeight="1">
      <c r="A65" s="526"/>
      <c r="B65" t="s" s="549">
        <v>508</v>
      </c>
      <c r="C65" s="552">
        <v>12452</v>
      </c>
      <c r="D65" s="526"/>
      <c r="E65" s="526"/>
      <c r="F65" s="526"/>
      <c r="G65" s="526"/>
    </row>
    <row r="66" ht="13.55" customHeight="1">
      <c r="A66" s="526"/>
      <c r="B66" t="s" s="549">
        <v>509</v>
      </c>
      <c r="C66" s="552">
        <v>453864</v>
      </c>
      <c r="D66" s="526"/>
      <c r="E66" s="526"/>
      <c r="F66" s="526"/>
      <c r="G66" s="526"/>
    </row>
    <row r="67" ht="13.55" customHeight="1">
      <c r="A67" s="526"/>
      <c r="B67" t="s" s="549">
        <v>510</v>
      </c>
      <c r="C67" s="552">
        <v>11082</v>
      </c>
      <c r="D67" s="526"/>
      <c r="E67" s="526"/>
      <c r="F67" s="526"/>
      <c r="G67" s="526"/>
    </row>
    <row r="68" ht="13.55" customHeight="1">
      <c r="A68" s="526"/>
      <c r="B68" t="s" s="549">
        <v>511</v>
      </c>
      <c r="C68" s="552">
        <v>100724</v>
      </c>
      <c r="D68" s="526"/>
      <c r="E68" s="526"/>
      <c r="F68" s="526"/>
      <c r="G68" s="526"/>
    </row>
    <row r="69" ht="13.55" customHeight="1">
      <c r="A69" s="526"/>
      <c r="B69" t="s" s="549">
        <v>512</v>
      </c>
      <c r="C69" s="552">
        <v>12420</v>
      </c>
      <c r="D69" s="526"/>
      <c r="E69" s="526"/>
      <c r="F69" s="526"/>
      <c r="G69" s="526"/>
    </row>
    <row r="70" ht="13.55" customHeight="1">
      <c r="A70" s="526"/>
      <c r="B70" t="s" s="549">
        <v>513</v>
      </c>
      <c r="C70" s="552">
        <v>4310</v>
      </c>
      <c r="D70" s="526"/>
      <c r="E70" s="526"/>
      <c r="F70" s="526"/>
      <c r="G70" s="526"/>
    </row>
    <row r="71" ht="13.55" customHeight="1">
      <c r="A71" s="526"/>
      <c r="B71" t="s" s="549">
        <v>514</v>
      </c>
      <c r="C71" s="552">
        <v>12277</v>
      </c>
      <c r="D71" s="526"/>
      <c r="E71" s="526"/>
      <c r="F71" s="526"/>
      <c r="G71" s="526"/>
    </row>
    <row r="72" ht="13.55" customHeight="1">
      <c r="A72" s="526"/>
      <c r="B72" t="s" s="549">
        <v>515</v>
      </c>
      <c r="C72" s="552">
        <v>5862</v>
      </c>
      <c r="D72" s="526"/>
      <c r="E72" s="526"/>
      <c r="F72" s="526"/>
      <c r="G72" s="526"/>
    </row>
    <row r="73" ht="13.55" customHeight="1">
      <c r="A73" s="526"/>
      <c r="B73" t="s" s="549">
        <v>516</v>
      </c>
      <c r="C73" s="552">
        <v>10683</v>
      </c>
      <c r="D73" s="526"/>
      <c r="E73" s="526"/>
      <c r="F73" s="526"/>
      <c r="G73" s="526"/>
    </row>
    <row r="74" ht="13.55" customHeight="1">
      <c r="A74" s="526"/>
      <c r="B74" t="s" s="549">
        <v>517</v>
      </c>
      <c r="C74" s="552">
        <v>5653</v>
      </c>
      <c r="D74" s="526"/>
      <c r="E74" s="526"/>
      <c r="F74" s="526"/>
      <c r="G74" s="526"/>
    </row>
    <row r="75" ht="13.55" customHeight="1">
      <c r="A75" s="526"/>
      <c r="B75" t="s" s="549">
        <v>518</v>
      </c>
      <c r="C75" s="552">
        <v>15864</v>
      </c>
      <c r="D75" s="526"/>
      <c r="E75" s="526"/>
      <c r="F75" s="526"/>
      <c r="G75" s="526"/>
    </row>
    <row r="76" ht="13.55" customHeight="1">
      <c r="A76" s="526"/>
      <c r="B76" t="s" s="549">
        <v>519</v>
      </c>
      <c r="C76" s="552">
        <v>22472</v>
      </c>
      <c r="D76" s="526"/>
      <c r="E76" s="526"/>
      <c r="F76" s="526"/>
      <c r="G76" s="526"/>
    </row>
    <row r="77" ht="13.55" customHeight="1">
      <c r="A77" s="526"/>
      <c r="B77" t="s" s="549">
        <v>520</v>
      </c>
      <c r="C77" s="552">
        <v>17353</v>
      </c>
      <c r="D77" s="526"/>
      <c r="E77" s="526"/>
      <c r="F77" s="526"/>
      <c r="G77" s="526"/>
    </row>
    <row r="78" ht="13.55" customHeight="1">
      <c r="A78" s="526"/>
      <c r="B78" t="s" s="549">
        <v>521</v>
      </c>
      <c r="C78" s="552">
        <v>13450</v>
      </c>
      <c r="D78" s="526"/>
      <c r="E78" s="526"/>
      <c r="F78" s="526"/>
      <c r="G78" s="526"/>
    </row>
    <row r="79" ht="13.55" customHeight="1">
      <c r="A79" s="526"/>
      <c r="B79" t="s" s="549">
        <v>522</v>
      </c>
      <c r="C79" s="552">
        <v>6716</v>
      </c>
      <c r="D79" s="526"/>
      <c r="E79" s="526"/>
      <c r="F79" s="526"/>
      <c r="G79" s="526"/>
    </row>
    <row r="80" ht="13.55" customHeight="1">
      <c r="A80" s="526"/>
      <c r="B80" t="s" s="549">
        <v>523</v>
      </c>
      <c r="C80" s="552">
        <v>5813</v>
      </c>
      <c r="D80" s="526"/>
      <c r="E80" s="526"/>
      <c r="F80" s="526"/>
      <c r="G80" s="526"/>
    </row>
    <row r="81" ht="13.55" customHeight="1">
      <c r="A81" s="526"/>
      <c r="B81" t="s" s="549">
        <v>524</v>
      </c>
      <c r="C81" s="552">
        <v>292</v>
      </c>
      <c r="D81" s="526"/>
      <c r="E81" s="526"/>
      <c r="F81" s="526"/>
      <c r="G81" s="526"/>
    </row>
    <row r="82" ht="13.55" customHeight="1">
      <c r="A82" s="526"/>
      <c r="B82" t="s" s="549">
        <v>525</v>
      </c>
      <c r="C82" s="552">
        <v>12055</v>
      </c>
      <c r="D82" s="526"/>
      <c r="E82" s="526"/>
      <c r="F82" s="526"/>
      <c r="G82" s="526"/>
    </row>
    <row r="83" ht="13.55" customHeight="1">
      <c r="A83" s="526"/>
      <c r="B83" t="s" s="549">
        <v>526</v>
      </c>
      <c r="C83" s="552">
        <v>10374</v>
      </c>
      <c r="D83" s="526"/>
      <c r="E83" s="526"/>
      <c r="F83" s="526"/>
      <c r="G83" s="526"/>
    </row>
    <row r="84" ht="13.55" customHeight="1">
      <c r="A84" s="526"/>
      <c r="B84" t="s" s="549">
        <v>527</v>
      </c>
      <c r="C84" s="552">
        <f>'Sisend'!C9</f>
        <v>0</v>
      </c>
      <c r="D84" s="526"/>
      <c r="E84" s="526"/>
      <c r="F84" s="526"/>
      <c r="G84" s="526"/>
    </row>
    <row r="85" ht="13.55" customHeight="1">
      <c r="A85" s="526"/>
      <c r="B85" s="526"/>
      <c r="C85" s="526"/>
      <c r="D85" s="526"/>
      <c r="E85" s="526"/>
      <c r="F85" s="526"/>
      <c r="G85" s="526"/>
    </row>
    <row r="86" ht="13.55" customHeight="1">
      <c r="A86" s="526"/>
      <c r="B86" s="526"/>
      <c r="C86" s="526"/>
      <c r="D86" s="526"/>
      <c r="E86" s="526"/>
      <c r="F86" s="526"/>
      <c r="G86" s="526"/>
    </row>
    <row r="87" ht="13.55" customHeight="1">
      <c r="A87" s="526"/>
      <c r="B87" s="526"/>
      <c r="C87" s="526"/>
      <c r="D87" s="526"/>
      <c r="E87" s="526"/>
      <c r="F87" s="526"/>
      <c r="G87" s="526"/>
    </row>
    <row r="88" ht="13.55" customHeight="1">
      <c r="A88" s="526"/>
      <c r="B88" s="526"/>
      <c r="C88" s="526"/>
      <c r="D88" s="526"/>
      <c r="E88" s="526"/>
      <c r="F88" s="526"/>
      <c r="G88" s="526"/>
    </row>
    <row r="89" ht="13.55" customHeight="1">
      <c r="A89" s="526"/>
      <c r="B89" s="526"/>
      <c r="C89" s="526"/>
      <c r="D89" s="526"/>
      <c r="E89" s="526"/>
      <c r="F89" s="526"/>
      <c r="G89" s="526"/>
    </row>
    <row r="90" ht="13.55" customHeight="1">
      <c r="A90" s="526"/>
      <c r="B90" s="526"/>
      <c r="C90" s="526"/>
      <c r="D90" s="526"/>
      <c r="E90" s="526"/>
      <c r="F90" s="526"/>
      <c r="G90" s="526"/>
    </row>
    <row r="91" ht="13.55" customHeight="1">
      <c r="A91" s="526"/>
      <c r="B91" s="526"/>
      <c r="C91" s="526"/>
      <c r="D91" s="526"/>
      <c r="E91" s="526"/>
      <c r="F91" s="526"/>
      <c r="G91" s="526"/>
    </row>
    <row r="92" ht="13.55" customHeight="1">
      <c r="A92" s="526"/>
      <c r="B92" s="526"/>
      <c r="C92" s="526"/>
      <c r="D92" s="526"/>
      <c r="E92" s="526"/>
      <c r="F92" s="526"/>
      <c r="G92" s="526"/>
    </row>
    <row r="93" ht="13.55" customHeight="1">
      <c r="A93" s="526"/>
      <c r="B93" s="526"/>
      <c r="C93" s="526"/>
      <c r="D93" s="526"/>
      <c r="E93" s="526"/>
      <c r="F93" s="526"/>
      <c r="G93" s="526"/>
    </row>
    <row r="94" ht="13.55" customHeight="1">
      <c r="A94" s="526"/>
      <c r="B94" s="526"/>
      <c r="C94" s="526"/>
      <c r="D94" s="526"/>
      <c r="E94" s="526"/>
      <c r="F94" s="526"/>
      <c r="G94" s="526"/>
    </row>
    <row r="95" ht="13.55" customHeight="1">
      <c r="A95" s="526"/>
      <c r="B95" s="526"/>
      <c r="C95" s="526"/>
      <c r="D95" s="526"/>
      <c r="E95" s="526"/>
      <c r="F95" s="526"/>
      <c r="G95" s="526"/>
    </row>
    <row r="96" ht="13.55" customHeight="1">
      <c r="A96" s="526"/>
      <c r="B96" s="526"/>
      <c r="C96" s="526"/>
      <c r="D96" s="526"/>
      <c r="E96" s="526"/>
      <c r="F96" s="526"/>
      <c r="G96" s="526"/>
    </row>
    <row r="97" ht="13.55" customHeight="1">
      <c r="A97" s="526"/>
      <c r="B97" s="526"/>
      <c r="C97" s="526"/>
      <c r="D97" s="526"/>
      <c r="E97" s="526"/>
      <c r="F97" s="526"/>
      <c r="G97" s="526"/>
    </row>
    <row r="98" ht="13.55" customHeight="1">
      <c r="A98" s="526"/>
      <c r="B98" s="526"/>
      <c r="C98" s="526"/>
      <c r="D98" s="526"/>
      <c r="E98" s="526"/>
      <c r="F98" s="526"/>
      <c r="G98" s="526"/>
    </row>
    <row r="99" ht="13.55" customHeight="1">
      <c r="A99" s="526"/>
      <c r="B99" s="526"/>
      <c r="C99" s="526"/>
      <c r="D99" s="526"/>
      <c r="E99" s="526"/>
      <c r="F99" s="526"/>
      <c r="G99" s="526"/>
    </row>
    <row r="100" ht="13.55" customHeight="1">
      <c r="A100" s="526"/>
      <c r="B100" s="526"/>
      <c r="C100" s="526"/>
      <c r="D100" s="526"/>
      <c r="E100" s="526"/>
      <c r="F100" s="526"/>
      <c r="G100" s="526"/>
    </row>
    <row r="101" ht="13.55" customHeight="1">
      <c r="A101" s="526"/>
      <c r="B101" s="526"/>
      <c r="C101" s="526"/>
      <c r="D101" s="526"/>
      <c r="E101" s="526"/>
      <c r="F101" s="526"/>
      <c r="G101" s="526"/>
    </row>
    <row r="102" ht="13.55" customHeight="1">
      <c r="A102" s="526"/>
      <c r="B102" s="526"/>
      <c r="C102" s="526"/>
      <c r="D102" s="526"/>
      <c r="E102" s="526"/>
      <c r="F102" s="526"/>
      <c r="G102" s="526"/>
    </row>
    <row r="103" ht="13.55" customHeight="1">
      <c r="A103" s="526"/>
      <c r="B103" s="526"/>
      <c r="C103" s="526"/>
      <c r="D103" s="526"/>
      <c r="E103" s="526"/>
      <c r="F103" s="526"/>
      <c r="G103" s="526"/>
    </row>
    <row r="104" ht="13.55" customHeight="1">
      <c r="A104" s="526"/>
      <c r="B104" s="526"/>
      <c r="C104" s="526"/>
      <c r="D104" s="526"/>
      <c r="E104" s="526"/>
      <c r="F104" s="526"/>
      <c r="G104" s="526"/>
    </row>
    <row r="105" ht="13.55" customHeight="1">
      <c r="A105" s="526"/>
      <c r="B105" s="526"/>
      <c r="C105" s="526"/>
      <c r="D105" s="526"/>
      <c r="E105" s="526"/>
      <c r="F105" s="526"/>
      <c r="G105" s="526"/>
    </row>
    <row r="106" ht="13.55" customHeight="1">
      <c r="A106" s="526"/>
      <c r="B106" s="526"/>
      <c r="C106" s="526"/>
      <c r="D106" s="526"/>
      <c r="E106" s="526"/>
      <c r="F106" s="526"/>
      <c r="G106" s="526"/>
    </row>
    <row r="107" ht="13.55" customHeight="1">
      <c r="A107" t="s" s="551">
        <v>528</v>
      </c>
      <c r="B107" s="526"/>
      <c r="C107" s="526"/>
      <c r="D107" s="526"/>
      <c r="E107" s="526"/>
      <c r="F107" s="526"/>
      <c r="G107" s="526"/>
    </row>
    <row r="108" ht="13.55" customHeight="1">
      <c r="A108" t="s" s="551">
        <v>529</v>
      </c>
      <c r="B108" s="526"/>
      <c r="C108" s="526"/>
      <c r="D108" s="526"/>
      <c r="E108" s="526"/>
      <c r="F108" s="526"/>
      <c r="G108" s="526"/>
    </row>
  </sheetData>
  <pageMargins left="0.75" right="0.75" top="0.75" bottom="0.5" header="0.5" footer="0.7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